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EstaPasta_de_trabalho" defaultThemeVersion="124226"/>
  <bookViews>
    <workbookView xWindow="-15" yWindow="-15" windowWidth="7680" windowHeight="8265" tabRatio="742"/>
  </bookViews>
  <sheets>
    <sheet name="01_M.Q.S_N.N.L " sheetId="16" r:id="rId1"/>
    <sheet name="02_M.Q.M_N.N.L" sheetId="17" r:id="rId2"/>
    <sheet name="03_M.Q.E_N.N.L" sheetId="18" r:id="rId3"/>
  </sheets>
  <definedNames>
    <definedName name="_xlnm._FilterDatabase" localSheetId="0" hidden="1">'01_M.Q.S_N.N.L '!$A$8:$J$238</definedName>
    <definedName name="_xlnm._FilterDatabase" localSheetId="1" hidden="1">'02_M.Q.M_N.N.L'!$A$10:$F$340</definedName>
    <definedName name="_xlnm._FilterDatabase" localSheetId="2" hidden="1">'03_M.Q.E_N.N.L'!$A$8:$F$21</definedName>
    <definedName name="_xlnm.Print_Area" localSheetId="0">'01_M.Q.S_N.N.L '!$A$1:$J$238</definedName>
    <definedName name="_xlnm.Print_Area" localSheetId="1">'02_M.Q.M_N.N.L'!$A$1:$F$340</definedName>
    <definedName name="_xlnm.Print_Area" localSheetId="2">'03_M.Q.E_N.N.L'!$A$1:$F$21</definedName>
    <definedName name="_xlnm.Print_Titles" localSheetId="0">'01_M.Q.S_N.N.L '!$1:$8</definedName>
    <definedName name="_xlnm.Print_Titles" localSheetId="1">'02_M.Q.M_N.N.L'!$1:$8</definedName>
    <definedName name="_xlnm.Print_Titles" localSheetId="2">'03_M.Q.E_N.N.L'!$1:$8</definedName>
  </definedNames>
  <calcPr calcId="144525"/>
</workbook>
</file>

<file path=xl/calcChain.xml><?xml version="1.0" encoding="utf-8"?>
<calcChain xmlns="http://schemas.openxmlformats.org/spreadsheetml/2006/main">
  <c r="I69" i="16" l="1"/>
  <c r="G69" i="16"/>
  <c r="F69" i="16"/>
  <c r="I197" i="16" l="1"/>
  <c r="I213" i="16"/>
  <c r="I53" i="16"/>
  <c r="I54" i="16"/>
  <c r="I140" i="16" l="1"/>
  <c r="I157" i="16"/>
  <c r="I179" i="16" l="1"/>
  <c r="G178" i="16"/>
  <c r="I178" i="16" s="1"/>
  <c r="H203" i="16" l="1"/>
  <c r="G204" i="16"/>
  <c r="F204" i="16"/>
  <c r="I206" i="16"/>
  <c r="I205" i="16"/>
  <c r="F203" i="16" l="1"/>
  <c r="F202" i="16"/>
  <c r="F201" i="16"/>
  <c r="I238" i="16"/>
  <c r="E237" i="16"/>
  <c r="I237" i="16" s="1"/>
  <c r="E236" i="16"/>
  <c r="I236" i="16" s="1"/>
  <c r="G234" i="16"/>
  <c r="I233" i="16"/>
  <c r="G231" i="16"/>
  <c r="F231" i="16"/>
  <c r="I230" i="16"/>
  <c r="G229" i="16"/>
  <c r="F229" i="16"/>
  <c r="I227" i="16"/>
  <c r="I226" i="16"/>
  <c r="H223" i="16"/>
  <c r="G223" i="16"/>
  <c r="F223" i="16"/>
  <c r="H222" i="16"/>
  <c r="G222" i="16"/>
  <c r="F222" i="16"/>
  <c r="I217" i="16"/>
  <c r="I215" i="16"/>
  <c r="F212" i="16"/>
  <c r="I214" i="16" s="1"/>
  <c r="I209" i="16"/>
  <c r="I202" i="16"/>
  <c r="F200" i="16"/>
  <c r="I200" i="16" s="1"/>
  <c r="I198" i="16"/>
  <c r="I196" i="16"/>
  <c r="I194" i="16"/>
  <c r="I193" i="16"/>
  <c r="I192" i="16"/>
  <c r="I190" i="16"/>
  <c r="I191" i="16" s="1"/>
  <c r="I188" i="16"/>
  <c r="I187" i="16"/>
  <c r="F184" i="16"/>
  <c r="I185" i="16" s="1"/>
  <c r="I182" i="16"/>
  <c r="I181" i="16"/>
  <c r="H176" i="16"/>
  <c r="G176" i="16"/>
  <c r="F176" i="16"/>
  <c r="F175" i="16"/>
  <c r="I175" i="16" s="1"/>
  <c r="I173" i="16"/>
  <c r="I174" i="16" s="1"/>
  <c r="I172" i="16"/>
  <c r="I171" i="16"/>
  <c r="I170" i="16"/>
  <c r="G169" i="16"/>
  <c r="I169" i="16" s="1"/>
  <c r="I167" i="16"/>
  <c r="I168" i="16" s="1"/>
  <c r="I166" i="16"/>
  <c r="I163" i="16"/>
  <c r="I162" i="16"/>
  <c r="I164" i="16" s="1"/>
  <c r="I161" i="16"/>
  <c r="I160" i="16"/>
  <c r="F158" i="16"/>
  <c r="I158" i="16" s="1"/>
  <c r="I156" i="16"/>
  <c r="I155" i="16"/>
  <c r="I154" i="16"/>
  <c r="I153" i="16"/>
  <c r="I152" i="16"/>
  <c r="G151" i="16"/>
  <c r="I151" i="16" s="1"/>
  <c r="G150" i="16"/>
  <c r="F150" i="16"/>
  <c r="I147" i="16"/>
  <c r="I146" i="16"/>
  <c r="I145" i="16"/>
  <c r="I148" i="16" s="1"/>
  <c r="I144" i="16"/>
  <c r="I143" i="16"/>
  <c r="F141" i="16"/>
  <c r="I141" i="16" s="1"/>
  <c r="I139" i="16"/>
  <c r="I138" i="16"/>
  <c r="I137" i="16"/>
  <c r="I136" i="16"/>
  <c r="I135" i="16"/>
  <c r="G134" i="16"/>
  <c r="I134" i="16" s="1"/>
  <c r="G133" i="16"/>
  <c r="F133" i="16"/>
  <c r="I131" i="16"/>
  <c r="I130" i="16"/>
  <c r="I129" i="16"/>
  <c r="I127" i="16"/>
  <c r="I126" i="16"/>
  <c r="I125" i="16"/>
  <c r="I124" i="16"/>
  <c r="F122" i="16"/>
  <c r="I123" i="16" s="1"/>
  <c r="I119" i="16"/>
  <c r="I118" i="16"/>
  <c r="I120" i="16" s="1"/>
  <c r="I116" i="16"/>
  <c r="I115" i="16"/>
  <c r="I114" i="16"/>
  <c r="I113" i="16"/>
  <c r="I112" i="16"/>
  <c r="I111" i="16"/>
  <c r="I110" i="16"/>
  <c r="I108" i="16"/>
  <c r="I106" i="16"/>
  <c r="I105" i="16"/>
  <c r="I104" i="16"/>
  <c r="I103" i="16"/>
  <c r="I102" i="16"/>
  <c r="I101" i="16"/>
  <c r="I100" i="16"/>
  <c r="I99" i="16"/>
  <c r="I98" i="16"/>
  <c r="I97" i="16"/>
  <c r="I95" i="16"/>
  <c r="F94" i="16"/>
  <c r="I94" i="16" s="1"/>
  <c r="G93" i="16"/>
  <c r="F93" i="16"/>
  <c r="G92" i="16"/>
  <c r="F92" i="16"/>
  <c r="F91" i="16"/>
  <c r="I91" i="16" s="1"/>
  <c r="I90" i="16"/>
  <c r="G89" i="16"/>
  <c r="F89" i="16"/>
  <c r="G88" i="16"/>
  <c r="F88" i="16"/>
  <c r="G87" i="16"/>
  <c r="F87" i="16"/>
  <c r="G86" i="16"/>
  <c r="F86" i="16"/>
  <c r="F85" i="16"/>
  <c r="I85" i="16" s="1"/>
  <c r="F82" i="16"/>
  <c r="I82" i="16" s="1"/>
  <c r="F81" i="16"/>
  <c r="I81" i="16" s="1"/>
  <c r="F79" i="16"/>
  <c r="I79" i="16" s="1"/>
  <c r="F78" i="16"/>
  <c r="I78" i="16" s="1"/>
  <c r="F76" i="16"/>
  <c r="F75" i="16"/>
  <c r="I75" i="16" s="1"/>
  <c r="F74" i="16"/>
  <c r="I74" i="16" s="1"/>
  <c r="F73" i="16"/>
  <c r="I73" i="16" s="1"/>
  <c r="G72" i="16"/>
  <c r="F72" i="16"/>
  <c r="H71" i="16"/>
  <c r="I71" i="16" s="1"/>
  <c r="I80" i="16" s="1"/>
  <c r="I68" i="16"/>
  <c r="I67" i="16"/>
  <c r="G63" i="16"/>
  <c r="F63" i="16"/>
  <c r="F62" i="16"/>
  <c r="I62" i="16" s="1"/>
  <c r="I57" i="16"/>
  <c r="I55" i="16"/>
  <c r="F52" i="16"/>
  <c r="I50" i="16"/>
  <c r="I49" i="16"/>
  <c r="I48" i="16"/>
  <c r="I47" i="16"/>
  <c r="F45" i="16"/>
  <c r="I45" i="16" s="1"/>
  <c r="I46" i="16" s="1"/>
  <c r="I43" i="16"/>
  <c r="I42" i="16"/>
  <c r="I41" i="16"/>
  <c r="I40" i="16"/>
  <c r="G38" i="16"/>
  <c r="G36" i="16"/>
  <c r="F36" i="16"/>
  <c r="I35" i="16"/>
  <c r="I34" i="16"/>
  <c r="G33" i="16"/>
  <c r="F33" i="16"/>
  <c r="I31" i="16"/>
  <c r="G30" i="16"/>
  <c r="G28" i="16"/>
  <c r="F28" i="16"/>
  <c r="I27" i="16"/>
  <c r="I26" i="16"/>
  <c r="G25" i="16"/>
  <c r="F25" i="16"/>
  <c r="H23" i="16"/>
  <c r="G23" i="16"/>
  <c r="F23" i="16"/>
  <c r="I22" i="16"/>
  <c r="I21" i="16"/>
  <c r="I19" i="16"/>
  <c r="I17" i="16"/>
  <c r="F16" i="16"/>
  <c r="I16" i="16" s="1"/>
  <c r="I15" i="16"/>
  <c r="H14" i="16"/>
  <c r="I14" i="16" s="1"/>
  <c r="I13" i="16"/>
  <c r="G12" i="16"/>
  <c r="F12" i="16"/>
  <c r="I11" i="16"/>
  <c r="I10" i="16"/>
  <c r="I9" i="16"/>
  <c r="I25" i="16" l="1"/>
  <c r="I30" i="16" s="1"/>
  <c r="I28" i="16"/>
  <c r="I33" i="16"/>
  <c r="I38" i="16" s="1"/>
  <c r="I12" i="16"/>
  <c r="I63" i="16"/>
  <c r="I86" i="16"/>
  <c r="I87" i="16"/>
  <c r="I88" i="16"/>
  <c r="I89" i="16"/>
  <c r="I176" i="16"/>
  <c r="I177" i="16" s="1"/>
  <c r="I222" i="16"/>
  <c r="I231" i="16"/>
  <c r="I232" i="16" s="1"/>
  <c r="I23" i="16"/>
  <c r="I36" i="16"/>
  <c r="I37" i="16" s="1"/>
  <c r="I72" i="16"/>
  <c r="I92" i="16"/>
  <c r="I93" i="16"/>
  <c r="I133" i="16"/>
  <c r="I150" i="16"/>
  <c r="I223" i="16"/>
  <c r="I224" i="16" s="1"/>
  <c r="I229" i="16"/>
  <c r="I234" i="16" s="1"/>
  <c r="I84" i="16"/>
  <c r="I83" i="16"/>
  <c r="I208" i="16"/>
  <c r="I207" i="16"/>
  <c r="I203" i="16"/>
  <c r="I52" i="16"/>
  <c r="I60" i="16" s="1"/>
  <c r="I56" i="16"/>
  <c r="I58" i="16"/>
  <c r="I76" i="16"/>
  <c r="I77" i="16" s="1"/>
  <c r="I122" i="16"/>
  <c r="I184" i="16"/>
  <c r="I186" i="16" s="1"/>
  <c r="I201" i="16"/>
  <c r="I212" i="16"/>
  <c r="I220" i="16" s="1"/>
  <c r="I216" i="16"/>
  <c r="I218" i="16"/>
  <c r="I219" i="16" s="1"/>
  <c r="I64" i="16" l="1"/>
  <c r="I29" i="16"/>
  <c r="I204" i="16"/>
  <c r="I59" i="16"/>
  <c r="F45" i="17" l="1"/>
  <c r="F44" i="17"/>
</calcChain>
</file>

<file path=xl/sharedStrings.xml><?xml version="1.0" encoding="utf-8"?>
<sst xmlns="http://schemas.openxmlformats.org/spreadsheetml/2006/main" count="2731" uniqueCount="1320">
  <si>
    <t>ITEM</t>
  </si>
  <si>
    <t>DESCRIÇÃO</t>
  </si>
  <si>
    <t>A</t>
  </si>
  <si>
    <t>B</t>
  </si>
  <si>
    <t>C</t>
  </si>
  <si>
    <t>TOTAL</t>
  </si>
  <si>
    <t>m²</t>
  </si>
  <si>
    <t>1.1</t>
  </si>
  <si>
    <t>1.2</t>
  </si>
  <si>
    <t>2.1</t>
  </si>
  <si>
    <t>2.2</t>
  </si>
  <si>
    <t>Ministério da Integração Nacional</t>
  </si>
  <si>
    <t>Companhia de Desenvolvimento dos Vales do São Francisco e do Parnaíba</t>
  </si>
  <si>
    <t>4.ª Superintendência Regional</t>
  </si>
  <si>
    <t xml:space="preserve">DATA: </t>
  </si>
  <si>
    <t xml:space="preserve">CÓDIGO </t>
  </si>
  <si>
    <t>UNID.</t>
  </si>
  <si>
    <t>CROQUI / CRITÉRIO</t>
  </si>
  <si>
    <t>1.</t>
  </si>
  <si>
    <t>2.</t>
  </si>
  <si>
    <t>1.3</t>
  </si>
  <si>
    <t>1.4</t>
  </si>
  <si>
    <t>1.5</t>
  </si>
  <si>
    <t>final da obra</t>
  </si>
  <si>
    <t>1.6</t>
  </si>
  <si>
    <t>1.7</t>
  </si>
  <si>
    <t>REPETIÇÃO</t>
  </si>
  <si>
    <t>início da obra</t>
  </si>
  <si>
    <t>Serviços Auxiliares (S.A.)</t>
  </si>
  <si>
    <r>
      <rPr>
        <sz val="8"/>
        <rFont val="Arial Narrow"/>
        <family val="2"/>
      </rPr>
      <t xml:space="preserve">DOCUMENTO: </t>
    </r>
    <r>
      <rPr>
        <b/>
        <sz val="8"/>
        <rFont val="Arial Narrow"/>
        <family val="2"/>
      </rPr>
      <t>01 - MEMÓRIA DE QUANTITATIVOS DOS SERVIÇOS (M.Q.S)</t>
    </r>
  </si>
  <si>
    <t>m³</t>
  </si>
  <si>
    <t>Caiação int. ou ext. sobre revestimento c/ adoção de fixador com duas demão</t>
  </si>
  <si>
    <t>Lastro de brita n°2 apiloada manualmente com maço de até 30kg</t>
  </si>
  <si>
    <t>Montagem de conexões de ferro fundido, com flanges, até diam.=100mm</t>
  </si>
  <si>
    <t>pç</t>
  </si>
  <si>
    <t>und</t>
  </si>
  <si>
    <t>Limpeza de terreno, roçada densa (com pequenos arbustos)</t>
  </si>
  <si>
    <t>m</t>
  </si>
  <si>
    <t>Concreto magro 1:4:8 c/ preparo manual</t>
  </si>
  <si>
    <t>6047</t>
  </si>
  <si>
    <t>Forma em chapa de madeira compensada plastificada 10mm, para estrutura de concreto (reaproveitamento 5x)</t>
  </si>
  <si>
    <t>Volume de aterro da escavação para o assentamento da adutora
A= Total de Volume escavado;</t>
  </si>
  <si>
    <t>Comprimento da tubulação</t>
  </si>
  <si>
    <t>Volume escavado A*B*C
A= comprimento; B=largura; C= profundidade</t>
  </si>
  <si>
    <t>Área do Centro de reservação A*B
A= largura;
B= comprimento.</t>
  </si>
  <si>
    <t xml:space="preserve"> pç</t>
  </si>
  <si>
    <t>2.3</t>
  </si>
  <si>
    <t>3.</t>
  </si>
  <si>
    <t>3.1</t>
  </si>
  <si>
    <t>3.2</t>
  </si>
  <si>
    <t>3.3</t>
  </si>
  <si>
    <t>3.4</t>
  </si>
  <si>
    <t>3.5</t>
  </si>
  <si>
    <t>3.6</t>
  </si>
  <si>
    <t>3.7</t>
  </si>
  <si>
    <t>4.</t>
  </si>
  <si>
    <t>4.1</t>
  </si>
  <si>
    <t>4.2</t>
  </si>
  <si>
    <t>4.3</t>
  </si>
  <si>
    <t>4.4</t>
  </si>
  <si>
    <t>4.5</t>
  </si>
  <si>
    <t>4.6</t>
  </si>
  <si>
    <t>4.7</t>
  </si>
  <si>
    <t>4.8</t>
  </si>
  <si>
    <t>4.10</t>
  </si>
  <si>
    <t>5.</t>
  </si>
  <si>
    <t>5.1</t>
  </si>
  <si>
    <t>2.2.1</t>
  </si>
  <si>
    <t>2.2.2</t>
  </si>
  <si>
    <t>2.3.1</t>
  </si>
  <si>
    <t>2.3.2</t>
  </si>
  <si>
    <t>2.3.3</t>
  </si>
  <si>
    <t>Área de Revestimento A x 2:
A=área de alvenaria 
2 (interna e externa)</t>
  </si>
  <si>
    <t>2.4</t>
  </si>
  <si>
    <t>3.2.1</t>
  </si>
  <si>
    <t>3.2.2</t>
  </si>
  <si>
    <t>3.2.3</t>
  </si>
  <si>
    <t>3.2.4</t>
  </si>
  <si>
    <t>3.2.5</t>
  </si>
  <si>
    <t>3.2.6</t>
  </si>
  <si>
    <t>3.3.1</t>
  </si>
  <si>
    <t>3.3.2</t>
  </si>
  <si>
    <t>3.3.3</t>
  </si>
  <si>
    <t>Execução de caixa de drenagem</t>
  </si>
  <si>
    <t>3.4.1</t>
  </si>
  <si>
    <t>3.4.2</t>
  </si>
  <si>
    <t>3.4.3</t>
  </si>
  <si>
    <t>3.4.4</t>
  </si>
  <si>
    <t>3.4.5</t>
  </si>
  <si>
    <t>3.4.6</t>
  </si>
  <si>
    <t>3.4.7</t>
  </si>
  <si>
    <t>3.4.8</t>
  </si>
  <si>
    <t>3.5.1</t>
  </si>
  <si>
    <t>3.5.2</t>
  </si>
  <si>
    <t>3.5.3</t>
  </si>
  <si>
    <t>3.5.4</t>
  </si>
  <si>
    <t>3.5.5</t>
  </si>
  <si>
    <t>3.5.6</t>
  </si>
  <si>
    <t>3.5.7</t>
  </si>
  <si>
    <t>3.5.8</t>
  </si>
  <si>
    <t>3.5.9</t>
  </si>
  <si>
    <t>3.5.10</t>
  </si>
  <si>
    <t>3.6.1</t>
  </si>
  <si>
    <t>3.6.2</t>
  </si>
  <si>
    <t>3.6.3</t>
  </si>
  <si>
    <t>3.6.4</t>
  </si>
  <si>
    <t>3.6.5</t>
  </si>
  <si>
    <t>3.6.6</t>
  </si>
  <si>
    <t>3.6.7</t>
  </si>
  <si>
    <t>3.6.8</t>
  </si>
  <si>
    <t>3.6.9</t>
  </si>
  <si>
    <t>3.6.10</t>
  </si>
  <si>
    <t>3.7.1</t>
  </si>
  <si>
    <t>3.7.2</t>
  </si>
  <si>
    <t>3.7.3</t>
  </si>
  <si>
    <t>3.7.4</t>
  </si>
  <si>
    <t>3.7.5</t>
  </si>
  <si>
    <t>3.7.6</t>
  </si>
  <si>
    <t>4.2.1</t>
  </si>
  <si>
    <t>4.2.2</t>
  </si>
  <si>
    <t>4.2.3</t>
  </si>
  <si>
    <t>4.2.4</t>
  </si>
  <si>
    <t>4.2.5</t>
  </si>
  <si>
    <t>4.2.6</t>
  </si>
  <si>
    <t>4.3.1</t>
  </si>
  <si>
    <t>4.3.2</t>
  </si>
  <si>
    <t>4.3.3</t>
  </si>
  <si>
    <t>Área no fundo da caixa A*(B*C):
A= espessura; B= 1,5m; C = 1,2m</t>
  </si>
  <si>
    <t>4.4.1</t>
  </si>
  <si>
    <t>4.5.1</t>
  </si>
  <si>
    <t>4.5.2</t>
  </si>
  <si>
    <t>4.5.3</t>
  </si>
  <si>
    <t>4.5.4</t>
  </si>
  <si>
    <t>4.6.1</t>
  </si>
  <si>
    <t>4.6.2</t>
  </si>
  <si>
    <t>4.6.3</t>
  </si>
  <si>
    <t>4.7.1</t>
  </si>
  <si>
    <t>Calçamento</t>
  </si>
  <si>
    <t>4.8.1</t>
  </si>
  <si>
    <t>4.8.2</t>
  </si>
  <si>
    <t>4.8.3</t>
  </si>
  <si>
    <t>4.7.2</t>
  </si>
  <si>
    <t>2.1.1</t>
  </si>
  <si>
    <t>Serviços preliminares</t>
  </si>
  <si>
    <t>2.4.1</t>
  </si>
  <si>
    <t>3.1.1</t>
  </si>
  <si>
    <t>4.1.1</t>
  </si>
  <si>
    <t>Volume de concreto de regularização A*B*C:
A= comprimento da cerca;
B= largura da escavação;
C= espessura.</t>
  </si>
  <si>
    <t>5.1.1</t>
  </si>
  <si>
    <t>5.1.2</t>
  </si>
  <si>
    <t>5.1.3</t>
  </si>
  <si>
    <t>5.1.4</t>
  </si>
  <si>
    <t>5.1.5</t>
  </si>
  <si>
    <t>5.1.6</t>
  </si>
  <si>
    <t>Captação de água bruta flutuante (CPT)</t>
  </si>
  <si>
    <t>2.5</t>
  </si>
  <si>
    <t>2.5.1</t>
  </si>
  <si>
    <t>2.5.2</t>
  </si>
  <si>
    <t>2.5.3</t>
  </si>
  <si>
    <t>2.5.4</t>
  </si>
  <si>
    <t>Adutora de água bruta</t>
  </si>
  <si>
    <t>3.1.3</t>
  </si>
  <si>
    <t>Estação de de tratamento de água (ETA)</t>
  </si>
  <si>
    <t>Adutora de água tratada (ADT)</t>
  </si>
  <si>
    <t>Escavação manual de vala ou cava em material de 1ª categoria, profundidade até 1,50m</t>
  </si>
  <si>
    <t>Montagem da elevatória de água de lavagem</t>
  </si>
  <si>
    <t>Montagem da elevatória de água tratada</t>
  </si>
  <si>
    <t>Pavimento em paralelepipedo sobre colchao de areia rejuntado com argamassa de cimento e areia no traço 1:3</t>
  </si>
  <si>
    <t>Demolição de pavimentação em paralelepípedo ou pré-moldados de concreto c/ reaproveitamento</t>
  </si>
  <si>
    <t>Vidro liso comum transparente, espessura 4mm</t>
  </si>
  <si>
    <t>Fechadura de embutir completa, para portas externas, padrao de acabamento popular</t>
  </si>
  <si>
    <t>Caixa de inspeção 80x80x80cm em alvenaria - execução</t>
  </si>
  <si>
    <t>Instalações elétricas</t>
  </si>
  <si>
    <t>3.4.12</t>
  </si>
  <si>
    <t>3.5.11</t>
  </si>
  <si>
    <t>3.5.12</t>
  </si>
  <si>
    <t>3.6.11</t>
  </si>
  <si>
    <t>3.6.12</t>
  </si>
  <si>
    <t>3.1.2</t>
  </si>
  <si>
    <t>4.2.7</t>
  </si>
  <si>
    <t>4.2.8</t>
  </si>
  <si>
    <t>4.2.9</t>
  </si>
  <si>
    <t>4.2.10</t>
  </si>
  <si>
    <t>4.2.11</t>
  </si>
  <si>
    <t>4.7.3</t>
  </si>
  <si>
    <t>2.4.2</t>
  </si>
  <si>
    <t>2.4.3</t>
  </si>
  <si>
    <t>Número de caixas</t>
  </si>
  <si>
    <t>Número de postes</t>
  </si>
  <si>
    <t>Número de bombas</t>
  </si>
  <si>
    <t>Número de quadros</t>
  </si>
  <si>
    <t xml:space="preserve">Área de vidro:
A= 1,05m x 0,5m (x2) J2;
</t>
  </si>
  <si>
    <t>Área de vidro A+B:
A= 1,0m x 0,8m (x3)  J1;
B= 0,8m x1,0m (x4) P1.</t>
  </si>
  <si>
    <t>Número de portas</t>
  </si>
  <si>
    <t>Número de pias</t>
  </si>
  <si>
    <t>Número de lavotários do banheiro</t>
  </si>
  <si>
    <t>Número de vasos do banheiro</t>
  </si>
  <si>
    <t>Número de chuveiros do banheiro</t>
  </si>
  <si>
    <t>Número de porta-toalhas do banheiro</t>
  </si>
  <si>
    <t>Número de papeleiras do banheiro</t>
  </si>
  <si>
    <t>Quantidade retirada da lista de interligação</t>
  </si>
  <si>
    <t>Quantidade retirada da lista elevatória de água de lavagem</t>
  </si>
  <si>
    <t>4.10.1</t>
  </si>
  <si>
    <t>4.10.2</t>
  </si>
  <si>
    <t>4.10.3</t>
  </si>
  <si>
    <t>4.10.4</t>
  </si>
  <si>
    <t>4.10.5</t>
  </si>
  <si>
    <t>4.10.6</t>
  </si>
  <si>
    <t>MATERIAL</t>
  </si>
  <si>
    <t>QUANTIDADE</t>
  </si>
  <si>
    <t>Borracha</t>
  </si>
  <si>
    <t>Bronze</t>
  </si>
  <si>
    <t>9825 i</t>
  </si>
  <si>
    <t>Estação de tratamento de água (ETA)</t>
  </si>
  <si>
    <t>10417 i</t>
  </si>
  <si>
    <t>1.1.1</t>
  </si>
  <si>
    <t>1.1.2</t>
  </si>
  <si>
    <t>1.1.3</t>
  </si>
  <si>
    <t>1.1.4</t>
  </si>
  <si>
    <t>1.1.5</t>
  </si>
  <si>
    <t>1.1.6</t>
  </si>
  <si>
    <t>1.1.7</t>
  </si>
  <si>
    <t>1.1.8</t>
  </si>
  <si>
    <t>1.1.9</t>
  </si>
  <si>
    <t>1.1.10</t>
  </si>
  <si>
    <t>1.1.11</t>
  </si>
  <si>
    <t>1.1.12</t>
  </si>
  <si>
    <t>1.1.13</t>
  </si>
  <si>
    <t>Material hidráulico da captação</t>
  </si>
  <si>
    <t>4.1.2</t>
  </si>
  <si>
    <t>Conf. Especif.</t>
  </si>
  <si>
    <t>PVC/Soldável</t>
  </si>
  <si>
    <t>2</t>
  </si>
  <si>
    <t>2.1.2</t>
  </si>
  <si>
    <t>3.2.7</t>
  </si>
  <si>
    <t>3.2.8</t>
  </si>
  <si>
    <t>3.2.9</t>
  </si>
  <si>
    <t>3.2.13</t>
  </si>
  <si>
    <t>3.2.14</t>
  </si>
  <si>
    <t>3.3.13</t>
  </si>
  <si>
    <t>3.3.4</t>
  </si>
  <si>
    <t>3.3.5</t>
  </si>
  <si>
    <t>3.3.6</t>
  </si>
  <si>
    <t>3.3.7</t>
  </si>
  <si>
    <t>3.3.8</t>
  </si>
  <si>
    <t>3.3.10</t>
  </si>
  <si>
    <t>3.3.12</t>
  </si>
  <si>
    <t>3.3.14</t>
  </si>
  <si>
    <t>3.3.15</t>
  </si>
  <si>
    <t>3.3.16</t>
  </si>
  <si>
    <t>3.3.17</t>
  </si>
  <si>
    <t>3.3.18</t>
  </si>
  <si>
    <t>3.3.19</t>
  </si>
  <si>
    <t>3.3.20</t>
  </si>
  <si>
    <t>3.3.21</t>
  </si>
  <si>
    <t>3.3.22</t>
  </si>
  <si>
    <t>3.3.23</t>
  </si>
  <si>
    <t>3.3.24</t>
  </si>
  <si>
    <t>3.3.25</t>
  </si>
  <si>
    <t>3.3.26</t>
  </si>
  <si>
    <t>3.3.27</t>
  </si>
  <si>
    <t>3.3.28</t>
  </si>
  <si>
    <t>3.3.29</t>
  </si>
  <si>
    <t>3.4.13</t>
  </si>
  <si>
    <t>3.4.14</t>
  </si>
  <si>
    <t>3.4.15</t>
  </si>
  <si>
    <t>3.4.16</t>
  </si>
  <si>
    <t>3.4.17</t>
  </si>
  <si>
    <t>3.4.18</t>
  </si>
  <si>
    <t>3.4.19</t>
  </si>
  <si>
    <t>3.4.20</t>
  </si>
  <si>
    <t>3.4.21</t>
  </si>
  <si>
    <t>Material hidráulico da adutora</t>
  </si>
  <si>
    <t>Material hidráulico da Adutora de água tratada</t>
  </si>
  <si>
    <t>5.1.7</t>
  </si>
  <si>
    <t>5.1.8</t>
  </si>
  <si>
    <t>4.2.12</t>
  </si>
  <si>
    <t>4.2.13</t>
  </si>
  <si>
    <t>4.2.14</t>
  </si>
  <si>
    <t>Conjunto motor-bomba</t>
  </si>
  <si>
    <t>Caixa d'água</t>
  </si>
  <si>
    <t>ETA compacta</t>
  </si>
  <si>
    <t>3.5.13</t>
  </si>
  <si>
    <t>3.5.14</t>
  </si>
  <si>
    <t>3.5.15</t>
  </si>
  <si>
    <t>3.6.13</t>
  </si>
  <si>
    <t>3.6.14</t>
  </si>
  <si>
    <t>1.2.1</t>
  </si>
  <si>
    <t>Placa de identificação da obra, padrão do Governo Federal, inclusive fornecimento, transporte, instalação e manutenção</t>
  </si>
  <si>
    <t>un</t>
  </si>
  <si>
    <t>Barracao de obra para alojamento/escritorio, piso em pinho 3a, paredes em compensado 10mm, cobertura em telha amianto 6mm, incluso instalacoes eletricas e esquadrias</t>
  </si>
  <si>
    <t>Barracao para deposito em tabuas de madeira, cobertura em fibrocimento 4 mm, incluso piso argamassa traço 1:6 (cimento e areia)</t>
  </si>
  <si>
    <t>Área da placa (A*B)</t>
  </si>
  <si>
    <t>Área para construção de deposito dos materiais e equipamentos (A*B)</t>
  </si>
  <si>
    <t>Codevasf_01</t>
  </si>
  <si>
    <t>Codevasf_02</t>
  </si>
  <si>
    <t>Codevasf_05</t>
  </si>
  <si>
    <t>73805/001</t>
  </si>
  <si>
    <t>74210/001</t>
  </si>
  <si>
    <t>74242/001</t>
  </si>
  <si>
    <t>74209/001</t>
  </si>
  <si>
    <t>73822/001</t>
  </si>
  <si>
    <t>Reaterro apiloado (manual) de valas, com material reaproveitado, em camadas de até 20 cm.</t>
  </si>
  <si>
    <t>73964/004</t>
  </si>
  <si>
    <t>74164/001</t>
  </si>
  <si>
    <t>6427</t>
  </si>
  <si>
    <t>72830</t>
  </si>
  <si>
    <t>73982/001</t>
  </si>
  <si>
    <t>73445</t>
  </si>
  <si>
    <t>73965/010</t>
  </si>
  <si>
    <t>Mobilização (pessoal, equipamentos e documentação pertinentes)</t>
  </si>
  <si>
    <t>Desmobilização (pessoal, equipamentos e documentação pertinentes)</t>
  </si>
  <si>
    <t>Codevasf_10</t>
  </si>
  <si>
    <t>Portão de entrada.</t>
  </si>
  <si>
    <t>Codevasf_08</t>
  </si>
  <si>
    <t>72799</t>
  </si>
  <si>
    <t>73783/005</t>
  </si>
  <si>
    <t>73947/010</t>
  </si>
  <si>
    <t>74068/002</t>
  </si>
  <si>
    <t>Codevasf_15</t>
  </si>
  <si>
    <t>Codevasf_16</t>
  </si>
  <si>
    <t>Codevasf_18</t>
  </si>
  <si>
    <t>72289</t>
  </si>
  <si>
    <t>6009</t>
  </si>
  <si>
    <t>6004</t>
  </si>
  <si>
    <t>6031</t>
  </si>
  <si>
    <t>68061</t>
  </si>
  <si>
    <t>74101/001</t>
  </si>
  <si>
    <t>72122</t>
  </si>
  <si>
    <t>72117</t>
  </si>
  <si>
    <t>Barracão de obra para banheiro/refeitório  em chapa de madeira compensada, cobertura em fibrocimento 4 mm, incluso instalacoes hidro-sanitarias e eletricas</t>
  </si>
  <si>
    <t>Área para construção do banheiro (A+B):
A=Área do wc do escritório;
B=Área do wc dos trabalhadores;
C=Área do refeitório.</t>
  </si>
  <si>
    <t>Placa de sinalização da obra, inclusive fornecimento, transporte, instalação e manutenção</t>
  </si>
  <si>
    <t>Área da placa (A*B):
A=Área das placas;
B=Número de placas.</t>
  </si>
  <si>
    <t>Montagem da captação de água bruta</t>
  </si>
  <si>
    <t>Codevasf_22</t>
  </si>
  <si>
    <t xml:space="preserve">Execução das Instalações elétricas e de aterramento </t>
  </si>
  <si>
    <t>Poste concreto seção circular comprimento=7m carga nominal topo 100kg inclusive escavacao, fornecimento e colocação</t>
  </si>
  <si>
    <t xml:space="preserve">Volume de aterro A:
A= Total de Volume escavado;
</t>
  </si>
  <si>
    <t>4.7.4</t>
  </si>
  <si>
    <t>4.7.5</t>
  </si>
  <si>
    <t>Volume de escavação A*B*C:
A= comprimento;
B= largura;
C= profundidade.</t>
  </si>
  <si>
    <t>Montagem do material hidráulico do leito de secagem</t>
  </si>
  <si>
    <t>3.7.7</t>
  </si>
  <si>
    <t>3.7.8</t>
  </si>
  <si>
    <t>3.7.9</t>
  </si>
  <si>
    <t>3.7.10</t>
  </si>
  <si>
    <t>3.7.11</t>
  </si>
  <si>
    <t>3.7.12</t>
  </si>
  <si>
    <t>3.7.13</t>
  </si>
  <si>
    <t>3.7.14</t>
  </si>
  <si>
    <t>3.5.16</t>
  </si>
  <si>
    <t>3.5.17</t>
  </si>
  <si>
    <t>3.5.18</t>
  </si>
  <si>
    <t>3.5.19</t>
  </si>
  <si>
    <t>3.5.20</t>
  </si>
  <si>
    <t>3.5.21</t>
  </si>
  <si>
    <t>3.5.22</t>
  </si>
  <si>
    <t>Fº DÚCTIL</t>
  </si>
  <si>
    <t>Junta de desmontagem travada axialmente com tirantes, PN10, DN100</t>
  </si>
  <si>
    <t>-</t>
  </si>
  <si>
    <t>1.1.14</t>
  </si>
  <si>
    <t>1.1.15</t>
  </si>
  <si>
    <t>1.1.16</t>
  </si>
  <si>
    <t>1.1.17</t>
  </si>
  <si>
    <t>1.1.18</t>
  </si>
  <si>
    <t>1.1.19</t>
  </si>
  <si>
    <t>1.1.20</t>
  </si>
  <si>
    <t>1.1.21</t>
  </si>
  <si>
    <t>1.1.22</t>
  </si>
  <si>
    <t>1.1.23</t>
  </si>
  <si>
    <t>1.1.24</t>
  </si>
  <si>
    <t>1.1.25</t>
  </si>
  <si>
    <t>1.1.26</t>
  </si>
  <si>
    <t>1.1.27</t>
  </si>
  <si>
    <t>1.1.28</t>
  </si>
  <si>
    <t>Material hidráulico do leito de secagem</t>
  </si>
  <si>
    <t>Material hidráulico da área Casa de Química - Esgoto</t>
  </si>
  <si>
    <t>Material hidráulico da área Casa de Química - Água</t>
  </si>
  <si>
    <t>F° DÚCTIL</t>
  </si>
  <si>
    <t>3.1.4</t>
  </si>
  <si>
    <t>3.1.5</t>
  </si>
  <si>
    <t>3.1.6</t>
  </si>
  <si>
    <t>3.1.7</t>
  </si>
  <si>
    <t>3.1.8</t>
  </si>
  <si>
    <t>3.1.9</t>
  </si>
  <si>
    <t>3.1.10</t>
  </si>
  <si>
    <t>3.1.11</t>
  </si>
  <si>
    <t>3.1.12</t>
  </si>
  <si>
    <t>3.1.13</t>
  </si>
  <si>
    <t>3.1.14</t>
  </si>
  <si>
    <t>F° GALV.</t>
  </si>
  <si>
    <t>BRONZE</t>
  </si>
  <si>
    <t>Fº GALV.</t>
  </si>
  <si>
    <t>Material hidráulico da Estação elevatória de lavagem (EAL)</t>
  </si>
  <si>
    <t>Junta de desmontagem travada axialmente com tirantes, PN10, DN200</t>
  </si>
  <si>
    <t>Junção com flanges, PN10, DN200</t>
  </si>
  <si>
    <t>3.3.30</t>
  </si>
  <si>
    <t>3.3.31</t>
  </si>
  <si>
    <t>3.3.32</t>
  </si>
  <si>
    <t>Material hidráulico da Estação elevatória de água tratada (EAT)</t>
  </si>
  <si>
    <t>Junta de desmontagem travada axialmente com tirantes, PN10, DN150</t>
  </si>
  <si>
    <t>Junção com flanges, PN10, DN150</t>
  </si>
  <si>
    <t>3.4.22</t>
  </si>
  <si>
    <t>3.4.23</t>
  </si>
  <si>
    <t>3.4.24</t>
  </si>
  <si>
    <t>Flutuadores para tubos de DN100</t>
  </si>
  <si>
    <t>Fibra de Vidro</t>
  </si>
  <si>
    <t>Tubo em FoFo, flange e ponta, PN10, DN 100, L=1,00m</t>
  </si>
  <si>
    <t>Aço galv.</t>
  </si>
  <si>
    <t>Caixa sifonada redonda c/ 07 entrada, com grelha, DN150x150x50mm</t>
  </si>
  <si>
    <t>3.7.15</t>
  </si>
  <si>
    <t>3.7.16</t>
  </si>
  <si>
    <t>3.7.17</t>
  </si>
  <si>
    <t>PVC/Esgoto</t>
  </si>
  <si>
    <t>Tubo de PVC série normal, DN40mm</t>
  </si>
  <si>
    <t>Tubo de PVC série normal, DN50mm</t>
  </si>
  <si>
    <t>Tubo de PVC série normal, DN100mm</t>
  </si>
  <si>
    <t>Material hidráulico da Interligação com reservatório</t>
  </si>
  <si>
    <t>4.1.3</t>
  </si>
  <si>
    <t>4.1.4</t>
  </si>
  <si>
    <t>4.1.5</t>
  </si>
  <si>
    <t>Fº GALV</t>
  </si>
  <si>
    <t xml:space="preserve">m </t>
  </si>
  <si>
    <t>Junta de desmontagem travada axialmente com tirantes, PN-10, DN100</t>
  </si>
  <si>
    <t>2.1.3</t>
  </si>
  <si>
    <t>2.1.4</t>
  </si>
  <si>
    <t>Adutora de água tratada (AAT)</t>
  </si>
  <si>
    <t>Adutora de água bruta (AAB)</t>
  </si>
  <si>
    <t>3.8</t>
  </si>
  <si>
    <t>Material elétrico da área da ETA</t>
  </si>
  <si>
    <t>3.8.1</t>
  </si>
  <si>
    <t>3.8.2</t>
  </si>
  <si>
    <t>3.8.3</t>
  </si>
  <si>
    <t>3.8.4</t>
  </si>
  <si>
    <t>3.8.5</t>
  </si>
  <si>
    <t>3.8.6</t>
  </si>
  <si>
    <t>3.8.7</t>
  </si>
  <si>
    <t>3.8.8</t>
  </si>
  <si>
    <t>3.8.9</t>
  </si>
  <si>
    <t>3.8.10</t>
  </si>
  <si>
    <t>3.8.11</t>
  </si>
  <si>
    <t>Cabo de cobre isolamento anti-chama 0,6/1kv 1,5mm2 (1 condutor), Branco</t>
  </si>
  <si>
    <t>Cabo de cobre isolamento anti-chama 0,6/1kv 2,5mm2 (1 condutor), Vermelho</t>
  </si>
  <si>
    <t>Cabo de cobre isolamento anti-chama 0,6/1kv 2,5mm2 (1 condutor), Azul</t>
  </si>
  <si>
    <t>Cabo de cobre isolamento anti-chama 0,6/1kv 2,5mm2 (1 condutor), Verde</t>
  </si>
  <si>
    <t>Cabo de cobre isolamento anti-chama 0,6/1kv 4,0mm2 (1 condutor), Vermelho</t>
  </si>
  <si>
    <t>Cabo de cobre isolamento anti-chama 0,6/1kv 4,0mm2 (1 condutor), Azul</t>
  </si>
  <si>
    <t>Cabo de cobre isolamento anti-chama 0,6/1kv 4,0mm2 (1 condutor), Verde</t>
  </si>
  <si>
    <t>Cabo de cobre isolamento anti-chama 0,6/1kv 6,0mm2 (1 condutor), Vermelho</t>
  </si>
  <si>
    <t>Cabo de cobre isolamento anti-chama 0,6/1kv 6,0mm2 (1 condutor), Azul</t>
  </si>
  <si>
    <t>Cabo de cobre isolamento anti-chama 0,6/1kv 25,0mm2 (1 condutor), Vermelho</t>
  </si>
  <si>
    <t>Cabo de cobre isolamento anti-chama 0,6/1kv 25,0mm2 (1 condutor), Azul</t>
  </si>
  <si>
    <t>3.8.12</t>
  </si>
  <si>
    <t>3.8.13</t>
  </si>
  <si>
    <t>3.8.14</t>
  </si>
  <si>
    <t>3.8.15</t>
  </si>
  <si>
    <t>3.8.16</t>
  </si>
  <si>
    <t>3.8.17</t>
  </si>
  <si>
    <t>3.8.18</t>
  </si>
  <si>
    <t>Conjunto condulete pvc tipo "c" c/ 1 interruptores simples + tampa"</t>
  </si>
  <si>
    <t>Luminaria prova de tempo e gases, tipo ylc-16/1 castimetal ou equiv, c/ lampada incandescente de 100w</t>
  </si>
  <si>
    <t>Eletroduto de pvc roscável de 1" (25 mm), sem luva</t>
  </si>
  <si>
    <t>3.8.19</t>
  </si>
  <si>
    <t>3.8.20</t>
  </si>
  <si>
    <t>3.8.21</t>
  </si>
  <si>
    <t>Eletroduto de pvc roscável de 1 1/4" (32 mm), sem luva</t>
  </si>
  <si>
    <t>Eletroduto de pvc roscável de 2" (50 mm), sem luva</t>
  </si>
  <si>
    <t>3.8.22</t>
  </si>
  <si>
    <t>3.8.23</t>
  </si>
  <si>
    <t>3.8.24</t>
  </si>
  <si>
    <t>3.8.25</t>
  </si>
  <si>
    <t>3.8.26</t>
  </si>
  <si>
    <t>3.8.27</t>
  </si>
  <si>
    <t>3.8.28</t>
  </si>
  <si>
    <t>3.8.29</t>
  </si>
  <si>
    <t>3.8.30</t>
  </si>
  <si>
    <t>Eletroduto ferro galv ou zincado eletrolit leve parede 0,90mm - 1" nbr 13057</t>
  </si>
  <si>
    <t>Eletroduto ferro galv ou zincado eletrolit leve parede 0,90mm - 2" nbr 13057</t>
  </si>
  <si>
    <t>Curva 90g ferro galv eletrolitico 1" p/ eletroduto</t>
  </si>
  <si>
    <t>3.8.31</t>
  </si>
  <si>
    <t>3.8.32</t>
  </si>
  <si>
    <t>3.8.33</t>
  </si>
  <si>
    <t>3.8.34</t>
  </si>
  <si>
    <t>Condulete de alumínio fundido tipo LB DN=1"</t>
  </si>
  <si>
    <t>Luva ferro galv eletrolitico 1" p/ eletroduto</t>
  </si>
  <si>
    <t>Arame galvanizado 12 bwg - 2,60mm - 48,00 g/m</t>
  </si>
  <si>
    <t>kg</t>
  </si>
  <si>
    <t>Cabeçote de alumínio de 1"</t>
  </si>
  <si>
    <t>Cabeçote de alumínio de 2"</t>
  </si>
  <si>
    <t>3.8.35</t>
  </si>
  <si>
    <t>3.8.36</t>
  </si>
  <si>
    <t>3.8.37</t>
  </si>
  <si>
    <t>3.8.38</t>
  </si>
  <si>
    <t>3.8.39</t>
  </si>
  <si>
    <t>3.8.40</t>
  </si>
  <si>
    <t>Relé fotoeletrico 1000w/220v</t>
  </si>
  <si>
    <t xml:space="preserve">Reator externo p/ lâmpada vapor sódio 70w </t>
  </si>
  <si>
    <t>Refletor para lâmpada de 70w</t>
  </si>
  <si>
    <t xml:space="preserve">Lâmpada vapor sódio alta pressão 70 w (phillips ref. son 70w ou similar) </t>
  </si>
  <si>
    <t>Automático de boia inferior 10A/250v</t>
  </si>
  <si>
    <t>Automático de boia superior 10A/250v</t>
  </si>
  <si>
    <t>3.8.41</t>
  </si>
  <si>
    <t>3.8.42</t>
  </si>
  <si>
    <t>3.8.43</t>
  </si>
  <si>
    <t>3.8.44</t>
  </si>
  <si>
    <t>Haste de aterramento , dn 1/2" x 3000mm, em aco revestido com uma camada de cobre eletrolítico</t>
  </si>
  <si>
    <t>Grampo p/ haste de aterramento ate 19mm cabo de 10 a 25mm2</t>
  </si>
  <si>
    <t>Curva 90g ferro galv eletrolitico 2" p/ eletroduto</t>
  </si>
  <si>
    <t>Luva ferro galv eletrolitico 2" p/ eletroduto</t>
  </si>
  <si>
    <t>3.9</t>
  </si>
  <si>
    <t>3.9.1</t>
  </si>
  <si>
    <t>3.9.2</t>
  </si>
  <si>
    <t>3.9.3</t>
  </si>
  <si>
    <t>3.9.4</t>
  </si>
  <si>
    <t>3.9.5</t>
  </si>
  <si>
    <t>3.9.6</t>
  </si>
  <si>
    <t>3.9.7</t>
  </si>
  <si>
    <t>3.9.8</t>
  </si>
  <si>
    <t>3.9.9</t>
  </si>
  <si>
    <t>3.9.10</t>
  </si>
  <si>
    <t>Cabo de cobre isolamento anti-chama 0,6/1kv 2,5mm2 (1 condutor), Branco</t>
  </si>
  <si>
    <t>Conjunto condulete pvc tipo "c" c/ 1 tomada 2p + t, 10A/220V, inclusive tampa"</t>
  </si>
  <si>
    <t>Conjunto condulete pvc tipo "c" c/ 1 tomada 2p + t, 20A/220V, inclusive tampa"</t>
  </si>
  <si>
    <t>Conjunto condulete pvc tipo "c" c/ 2 tomada 2p + t, 10A/220V, inclusive tampa"</t>
  </si>
  <si>
    <t>3.9.11</t>
  </si>
  <si>
    <t>3.9.12</t>
  </si>
  <si>
    <t>3.9.13</t>
  </si>
  <si>
    <t>3.9.14</t>
  </si>
  <si>
    <t>3.9.15</t>
  </si>
  <si>
    <t>Conjunto condulete pvc tipo "c" c/ 2 interruptores simples + tampa"</t>
  </si>
  <si>
    <t>Luminaria calha sobrepor em chapa aco c/ 2 lampadas fluorescentes 40w (completa, incl reator part rapida e lampadas)</t>
  </si>
  <si>
    <t>Disjuntor monofasico 15a, 2ka (220v)</t>
  </si>
  <si>
    <t>Disjuntor monofasico 25a, 2ka (220v)</t>
  </si>
  <si>
    <t>Material elétrico da captação</t>
  </si>
  <si>
    <t>1.2.2</t>
  </si>
  <si>
    <t>1.2.3</t>
  </si>
  <si>
    <t>1.2.4</t>
  </si>
  <si>
    <t>1.2.5</t>
  </si>
  <si>
    <t>1.2.6</t>
  </si>
  <si>
    <t>1.2.7</t>
  </si>
  <si>
    <t>1.2.8</t>
  </si>
  <si>
    <t>1.2.9</t>
  </si>
  <si>
    <t>1.2.10</t>
  </si>
  <si>
    <t>1.2.11</t>
  </si>
  <si>
    <t>1.2.12</t>
  </si>
  <si>
    <t>1.2.13</t>
  </si>
  <si>
    <t>1.2.14</t>
  </si>
  <si>
    <t>1.2.15</t>
  </si>
  <si>
    <t>1.2.16</t>
  </si>
  <si>
    <t>1.2.17</t>
  </si>
  <si>
    <t>1.2.18</t>
  </si>
  <si>
    <t>1.2.19</t>
  </si>
  <si>
    <t>1.2.20</t>
  </si>
  <si>
    <t>1.2.21</t>
  </si>
  <si>
    <t>Cabo de cobre nu 25mm2 meio-duro</t>
  </si>
  <si>
    <t>05387/ORSE</t>
  </si>
  <si>
    <t>05386/ORSE</t>
  </si>
  <si>
    <t>1022 i</t>
  </si>
  <si>
    <t>1021 i</t>
  </si>
  <si>
    <t>2685 i</t>
  </si>
  <si>
    <t>Eletroduto de pvc roscável de 1 1/2" (38 mm), sem luva</t>
  </si>
  <si>
    <t>2680 i</t>
  </si>
  <si>
    <t>2502 i</t>
  </si>
  <si>
    <t>1892 i</t>
  </si>
  <si>
    <t>1893 i</t>
  </si>
  <si>
    <t>21136 i</t>
  </si>
  <si>
    <t>2617 i</t>
  </si>
  <si>
    <t>2638 i</t>
  </si>
  <si>
    <t>342 i</t>
  </si>
  <si>
    <t>03837/ORSE</t>
  </si>
  <si>
    <t>2510  i</t>
  </si>
  <si>
    <t xml:space="preserve">01914/ORSE </t>
  </si>
  <si>
    <t>08992/ORSE</t>
  </si>
  <si>
    <t xml:space="preserve">01316/ORSE </t>
  </si>
  <si>
    <t>Tubo PVC DEFOFO, JE, 1MPa, DN=100mm</t>
  </si>
  <si>
    <t>4178 i</t>
  </si>
  <si>
    <t>Registro de gaveta, PN10, DN=3/4"</t>
  </si>
  <si>
    <t>6016 i</t>
  </si>
  <si>
    <t>05725/ORSE</t>
  </si>
  <si>
    <t>05875/ORSE</t>
  </si>
  <si>
    <t>05372/ORSE</t>
  </si>
  <si>
    <t>Parafuso para flanges c/ porca e arruela, PN 10, Dim.= 16mm x 80mm</t>
  </si>
  <si>
    <t>Parafuso para flanges c/ porca e arruela, PN 10, Dim.= 20mm x 90mm</t>
  </si>
  <si>
    <t>9838 i</t>
  </si>
  <si>
    <t>9836 i</t>
  </si>
  <si>
    <t>9835 i</t>
  </si>
  <si>
    <t>1966 i</t>
  </si>
  <si>
    <t>9869 i</t>
  </si>
  <si>
    <t>829 i</t>
  </si>
  <si>
    <t>3536 i</t>
  </si>
  <si>
    <t>108 i</t>
  </si>
  <si>
    <t>6019 i</t>
  </si>
  <si>
    <t>7136 i</t>
  </si>
  <si>
    <t>7137 i</t>
  </si>
  <si>
    <t>9868 i</t>
  </si>
  <si>
    <t>20147 i</t>
  </si>
  <si>
    <t>3529 i</t>
  </si>
  <si>
    <t>11753 i</t>
  </si>
  <si>
    <t>7139 i</t>
  </si>
  <si>
    <t>993 i</t>
  </si>
  <si>
    <t>994 i</t>
  </si>
  <si>
    <t>996 i</t>
  </si>
  <si>
    <t>12005 i</t>
  </si>
  <si>
    <t>3807 i</t>
  </si>
  <si>
    <t>20008 i</t>
  </si>
  <si>
    <t>20012 i</t>
  </si>
  <si>
    <t>2684 i</t>
  </si>
  <si>
    <t>2681 i</t>
  </si>
  <si>
    <t>1902 i</t>
  </si>
  <si>
    <t>1894 i</t>
  </si>
  <si>
    <t>2631 i</t>
  </si>
  <si>
    <t>14054 i</t>
  </si>
  <si>
    <t>2643 i</t>
  </si>
  <si>
    <t>12332 i</t>
  </si>
  <si>
    <t>7588 i</t>
  </si>
  <si>
    <t>3373 i</t>
  </si>
  <si>
    <t>426 i</t>
  </si>
  <si>
    <t>868 i</t>
  </si>
  <si>
    <t xml:space="preserve">21136 i </t>
  </si>
  <si>
    <t xml:space="preserve">2617 i </t>
  </si>
  <si>
    <t>12004 i</t>
  </si>
  <si>
    <t>12007 i</t>
  </si>
  <si>
    <t>3799 i</t>
  </si>
  <si>
    <t>20009 i</t>
  </si>
  <si>
    <t>14544 i</t>
  </si>
  <si>
    <r>
      <rPr>
        <sz val="8"/>
        <rFont val="Arial Narrow"/>
        <family val="2"/>
      </rPr>
      <t xml:space="preserve">DOCUMENTO: </t>
    </r>
    <r>
      <rPr>
        <b/>
        <sz val="8"/>
        <rFont val="Arial Narrow"/>
        <family val="2"/>
      </rPr>
      <t>02 - MEMÓRIA DE QUANTITATIVOS DOS MATERIAIS (M.Q.M)</t>
    </r>
  </si>
  <si>
    <r>
      <rPr>
        <sz val="8"/>
        <rFont val="Arial Narrow"/>
        <family val="2"/>
      </rPr>
      <t xml:space="preserve">DOCUMENTO: </t>
    </r>
    <r>
      <rPr>
        <b/>
        <sz val="8"/>
        <rFont val="Arial Narrow"/>
        <family val="2"/>
      </rPr>
      <t>03 - MEMÓRIA DE QUANTITATIVOS DOS  EQUIPAMENTOS (M.Q.E)</t>
    </r>
  </si>
  <si>
    <t>JANEIRO/2013</t>
  </si>
  <si>
    <t>Área para construção (A+B):
A = área do escritório (2,5m x 3m);
B = área do alojamento (3m² x 10 trabalhadores).</t>
  </si>
  <si>
    <t>Montagem de conj. motor-bomba de 5,1 a 15cv</t>
  </si>
  <si>
    <t>2.3.4</t>
  </si>
  <si>
    <t>Montagem de conexões de ferro fundido, com flanges, até diam.=150mm</t>
  </si>
  <si>
    <t>Número de conexões - Lista de materiais da captação</t>
  </si>
  <si>
    <t>Área de implantação da caixa de manobra e ancoragem A*B:
A = Largura e B= comprimento</t>
  </si>
  <si>
    <t>Área da tampa da caixa de manobra A*B:
A= comprimento;
B= largura.</t>
  </si>
  <si>
    <t>Execução da caixa de manobra</t>
  </si>
  <si>
    <t xml:space="preserve">Volume de escavação A*B*C:
A= 2,2m (comprimento) + 0,5m de cada lado
B= 1,9m (largura) + 0,5m de cada lado;
C= 1,4m (profundidade).
obs.: foi acrescido 50cm de folga nas laterais da caixa </t>
  </si>
  <si>
    <t>Área no fundo da caixa A*(B*C):
A= espessura; B= largura; C= comprimento</t>
  </si>
  <si>
    <t>Área de alvenaria (A+B)*C:
A= 1,5m (x2 paredes);
B= 2,2m (x2 paredes);
C= 1,05m (profundidade).</t>
  </si>
  <si>
    <t>Volume de aterro A-B:
A= volume escavado;
B=volume da caixa 2,2m x 1,9m x 1,4m.</t>
  </si>
  <si>
    <t>2.2.3</t>
  </si>
  <si>
    <t>Execução do ancoradouro</t>
  </si>
  <si>
    <t>Área no fundo A*(B*C):
A= espessura; B= largura; C= comprimento</t>
  </si>
  <si>
    <t>Volume de concreto A+B+C:
A= Vol. Das paredes laterais; B= Vol. Da parede de fundo;
C= Vol. Da laje de fundo;</t>
  </si>
  <si>
    <t>2.3.5</t>
  </si>
  <si>
    <t>2.3.6</t>
  </si>
  <si>
    <t>2.3.7</t>
  </si>
  <si>
    <t>2.4.4</t>
  </si>
  <si>
    <t>2.4.5</t>
  </si>
  <si>
    <t>2.4.6</t>
  </si>
  <si>
    <t>Volume escavado A*B*C
A= Largura (+1,0m de folga);
B= Comprimento (+1,0m de folga);
C= Altura.</t>
  </si>
  <si>
    <t>Área de alvenaria (A+B)*C:
A= 1,35m (x2 paredes);
B= 0,8m (x2 paredes);
C= 1,20m (profundidade).</t>
  </si>
  <si>
    <t>Volume de concreto da laje de fundo A*B*C:
A= comprimento; B= largura; C= espessura;</t>
  </si>
  <si>
    <t>Volume de concreto da laje de fundo e da tampa A*B*C:
A= comprimento; B= largura; C= espessura;</t>
  </si>
  <si>
    <t>2.6</t>
  </si>
  <si>
    <t>2.6.1</t>
  </si>
  <si>
    <t>2.6.2</t>
  </si>
  <si>
    <t>2.6.3</t>
  </si>
  <si>
    <t>2.6.4</t>
  </si>
  <si>
    <t>2.6.5</t>
  </si>
  <si>
    <t>Válvula de pé com crivo, DN150, com flange</t>
  </si>
  <si>
    <t>Eletroduto metálico flexivel rev ext pvc preto 40mm tipo copex ou equiv</t>
  </si>
  <si>
    <t>3788 i</t>
  </si>
  <si>
    <t>Luminária calha sobrepor em chapa aco c/ 1 lampada fluorescente 20w (completa, incl. Reator Part rápida e lâmpada)</t>
  </si>
  <si>
    <t>1.2.22</t>
  </si>
  <si>
    <t>Execução da Adutora</t>
  </si>
  <si>
    <t>Assentamento de tubos de PVC DEFOFO, junta elástica, PN 1Mpa, DN=100mm</t>
  </si>
  <si>
    <t>Codevasf_12</t>
  </si>
  <si>
    <t>Escavação de vala a frio, em material de 3ª categoria, com retro escavadeira e rompedor hidráulico acoplado a escavadeira hidrdráulica - incluso manutenção, operação e combustível</t>
  </si>
  <si>
    <t>74140/002</t>
  </si>
  <si>
    <t>Carga, transporte e descarga mecânica até 5km</t>
  </si>
  <si>
    <t>Volume de bota fora A*B:
A= Total de Volume escavado;
B= Taxa de empolamento.</t>
  </si>
  <si>
    <t>73964/005</t>
  </si>
  <si>
    <t>Reaterro de vala/cava sem controle de compactação, utilizando retro-escavadeira e compactador vibratório com material reaproveitado</t>
  </si>
  <si>
    <t>Codevasf_04</t>
  </si>
  <si>
    <t>Execução de solo-cimento, traço 1:10, com material de emprestimo</t>
  </si>
  <si>
    <t>Codevasf_11</t>
  </si>
  <si>
    <t>Material de jazida ou areia fina para aterro, inclusive aquisição, escavação na jazida e transporte</t>
  </si>
  <si>
    <t>Volume total de solo-cimento</t>
  </si>
  <si>
    <t>5.2</t>
  </si>
  <si>
    <t>5.2.1</t>
  </si>
  <si>
    <t>5.2.2</t>
  </si>
  <si>
    <t>Previsão de remoção para implantação da adutora A*B:
A= largura;
B= extensão.</t>
  </si>
  <si>
    <t>Área removida para implantação da adutora A*B:
A= largura;
B= extensão.</t>
  </si>
  <si>
    <t>5.3</t>
  </si>
  <si>
    <t>5.3.1</t>
  </si>
  <si>
    <t>5.3.2</t>
  </si>
  <si>
    <t>Execução da Caixa de Manobra</t>
  </si>
  <si>
    <t xml:space="preserve">Volume de escavação A*B*C:
A= 1,6m (comprimento) + 0,5m de cada lado
B= 1,3m (largura) + 0,5m de cada lado;
C= 1,2m (profundidade).
obs.: foi acrescido 50cm de folga nas laterais das caixas </t>
  </si>
  <si>
    <t>Área de alvenaria (A+B)*C:
A= 1,6m (x2 paredes);
B= 1,0m (x2 paredes);
C= 1,2m (profundidade).</t>
  </si>
  <si>
    <t>Volume da Tampa A:
A= Comprimento; B= Largura;
C= Espessura;</t>
  </si>
  <si>
    <t>Volume de aterro A-B:
A= volume escavado;
B=volume da caixa 1,6m x 1,3m x 1,2m.</t>
  </si>
  <si>
    <t>Material hidráulico da Interligação com elevatória de água tratada existente</t>
  </si>
  <si>
    <t>Quantidade retirada da Lista de materiais da interligação</t>
  </si>
  <si>
    <t>5.4</t>
  </si>
  <si>
    <t>5.4.1</t>
  </si>
  <si>
    <t>Montagem do material hidráulico das interligações</t>
  </si>
  <si>
    <t>Montagem de conexões de ferro fundido, com flanges, até diam.=200mm</t>
  </si>
  <si>
    <t>4.3.4</t>
  </si>
  <si>
    <t>4.3.5</t>
  </si>
  <si>
    <t>4.3.6</t>
  </si>
  <si>
    <t>4.3.7</t>
  </si>
  <si>
    <t>4.3.8</t>
  </si>
  <si>
    <t>4.3.9</t>
  </si>
  <si>
    <t>4.3.10</t>
  </si>
  <si>
    <t>4.3.11</t>
  </si>
  <si>
    <t>4.3.12</t>
  </si>
  <si>
    <t>4.3.13</t>
  </si>
  <si>
    <t>4.3.14</t>
  </si>
  <si>
    <t>4.3.15</t>
  </si>
  <si>
    <t>5.4.2</t>
  </si>
  <si>
    <t>5.4.3</t>
  </si>
  <si>
    <t>Estação de Tratamento de Água tipo compacta com dupla filtração de 50m3/h, composto de: floco-decantadores de fluxo ascendente; filtros de areia de fluxo descendente; Tubulações de interligação, areia classificada, pedregulho com granulometria graduada, válvulas diafragma para operação automática e quadro de comando programável para automação da retrolavagem; dispositivos de mistura rápida para injeção de produtos químicos; bombas dosadoras; equipamentos para cloração; equipamentos para fluoretação.</t>
  </si>
  <si>
    <t>Reservatório Metálico, 100.000L</t>
  </si>
  <si>
    <t>Construção da Casa de química</t>
  </si>
  <si>
    <t>Material hidráulico da Interligação da adutora de água bruta à ETA compacta</t>
  </si>
  <si>
    <t>Montagem do material hidráulico da interligação da adutora de água bruta à ETA compacta</t>
  </si>
  <si>
    <t>Execução da Base de Concreto da ETA compacta</t>
  </si>
  <si>
    <t>73992/001</t>
  </si>
  <si>
    <t>Locação convencional de obra, através de gabarito de tabuas corridas pontaletadas a cada 1,50m</t>
  </si>
  <si>
    <t>Área de forma da A*2:
A= área da base de 25m3/h (x2);</t>
  </si>
  <si>
    <t>Lançamento manual de concreto em estruturas, incl. vibração</t>
  </si>
  <si>
    <t>74157/002</t>
  </si>
  <si>
    <t>Concreto estrutural fck=20MPa, virado em betoneira, na obra, sem lançamento</t>
  </si>
  <si>
    <t>73972/002</t>
  </si>
  <si>
    <t>Armaçãoo de aço CA-60 diam. 3,4 a 6,0mm. Incl. fornecimento / corte (c/perda de 10%) / dobra / colocação.</t>
  </si>
  <si>
    <t>73942/002</t>
  </si>
  <si>
    <t>Armação aço CA-50, diam. 6,3 (1/4) à 12,5mm(1/2). Incl. fornecimento/ corte(perda de 10%) / dobra / colocação.</t>
  </si>
  <si>
    <t>74254/002</t>
  </si>
  <si>
    <t>Peso da armação A*2:
A= Peso; (x2)</t>
  </si>
  <si>
    <t>Volume de concreto A*2:
A= volume; (x2)</t>
  </si>
  <si>
    <t>Volume de concreto lançado A*2:
A= Volume lançado; (x2)</t>
  </si>
  <si>
    <t>Execução da Base de Concreto do Reservatório Apoiado de 100m3</t>
  </si>
  <si>
    <t>Material hidráulico do Reservatório apoiado de 100m3</t>
  </si>
  <si>
    <t>Volume escavado A*B
A= Área; B= Altura</t>
  </si>
  <si>
    <t>Área no fundo da caixa A*B:
A= espessura; B= Área</t>
  </si>
  <si>
    <t>Montagem do material hidráulico do Reservatório Apoiado de 100m3</t>
  </si>
  <si>
    <t>Montagem de conexões de ferro fundido, com flanges, até diam.=250mm</t>
  </si>
  <si>
    <t>Quantidade retirada da Lista de Reservatório</t>
  </si>
  <si>
    <t>Execução do Abrigo de Concreto da Elevatória de Água de Lavagem</t>
  </si>
  <si>
    <t>4.5.5</t>
  </si>
  <si>
    <t>4.5.6</t>
  </si>
  <si>
    <t>4.7.6</t>
  </si>
  <si>
    <t>4.9</t>
  </si>
  <si>
    <t>4.11</t>
  </si>
  <si>
    <t>Volume escavado A+B
A= Volume de escavação dos blocos;
B= Volume de escavação das vigas baldrames.</t>
  </si>
  <si>
    <t>Cobertura com telha de fibrocimento estrutural largura util 49cm, incluso acessórios de fixação e vedação</t>
  </si>
  <si>
    <t>73634</t>
  </si>
  <si>
    <t xml:space="preserve">Área de cobertura A: </t>
  </si>
  <si>
    <t>Montagem de conj. motor-bomba de 20cv</t>
  </si>
  <si>
    <t>Montagem de conexões de ferro fundido, com flanges, diam.= 250 mm</t>
  </si>
  <si>
    <t>Execução do Abrigo de Concreto da Elevatória de Água de Tratada</t>
  </si>
  <si>
    <t>4.11.1</t>
  </si>
  <si>
    <t>4.11.2</t>
  </si>
  <si>
    <t>4.11.3</t>
  </si>
  <si>
    <t>4.11.4</t>
  </si>
  <si>
    <t>4.11.5</t>
  </si>
  <si>
    <t>4.11.6</t>
  </si>
  <si>
    <t>4.11.7</t>
  </si>
  <si>
    <t>4.11.8</t>
  </si>
  <si>
    <t>4.11.9</t>
  </si>
  <si>
    <t>4.12</t>
  </si>
  <si>
    <t>MPVC/DEFOFO</t>
  </si>
  <si>
    <t>Execução do Leito de Secagem</t>
  </si>
  <si>
    <t>Volume escavado A*B*C
A= Profundidade; B= Largura; C= Comprimento.</t>
  </si>
  <si>
    <t>Emboço paulista (massa única) traço 1:2:8 (cimento, cal e areia), espessura 2,0cm, preparo mecânico</t>
  </si>
  <si>
    <t>74201/001</t>
  </si>
  <si>
    <t>Chapisco em paredes, traço 1:4 (cimento e areia), espessura 0,5cm, preparo mecânico</t>
  </si>
  <si>
    <t>5974</t>
  </si>
  <si>
    <t xml:space="preserve">Área de alvenaria "A" x 2: </t>
  </si>
  <si>
    <t xml:space="preserve">Volume de reaterro A - B:
A= Volume escavado; B= Volume do leito de secagem. </t>
  </si>
  <si>
    <t>4.12.1</t>
  </si>
  <si>
    <t>4.12.2</t>
  </si>
  <si>
    <t>Quantidade retirada da lista de materiais</t>
  </si>
  <si>
    <t>Volume no fundo das vigas e blocos A+B:
A= Volume dos blocos; B= Volume das vigas</t>
  </si>
  <si>
    <t>Área de forma da estrutura:</t>
  </si>
  <si>
    <t>Peso da armação:</t>
  </si>
  <si>
    <t xml:space="preserve">Volume de concreto:
</t>
  </si>
  <si>
    <t>Volume de concreto lançado:</t>
  </si>
  <si>
    <t>Volume de aterro do piso:</t>
  </si>
  <si>
    <t>73907/003</t>
  </si>
  <si>
    <t>Contrapiso/lastro concreto 1:3:6, e=5cm</t>
  </si>
  <si>
    <t>Área de Contrapiso:</t>
  </si>
  <si>
    <t>74095/001</t>
  </si>
  <si>
    <t>Acabamento desempolado de laje de concreto simples</t>
  </si>
  <si>
    <t>Área do Piso:</t>
  </si>
  <si>
    <t>Locação alvenaria</t>
  </si>
  <si>
    <t>68051</t>
  </si>
  <si>
    <t>Comprimento das paredes</t>
  </si>
  <si>
    <t>Área de Alvenaria:
A= Comprimento; B= Altura;</t>
  </si>
  <si>
    <t>Piso em cerâmica esmaltada linha popular PEI-4, assentada com argamassa colante</t>
  </si>
  <si>
    <t>73946/001</t>
  </si>
  <si>
    <t xml:space="preserve">Área de revestimento A+B:
A= Área dos Pisos; B= Área das paredes; </t>
  </si>
  <si>
    <t>73955/001</t>
  </si>
  <si>
    <t>Fundo selador acrílico ambientes internos/externos, uma demão</t>
  </si>
  <si>
    <t>74233/001</t>
  </si>
  <si>
    <t>Área de pintura interna A*B:
A= Perímetro das paredes;
B= pé direito;</t>
  </si>
  <si>
    <t>73954/002</t>
  </si>
  <si>
    <t>Área de pintura interna/externa A*B (x2):
A= Perímetro das paredes;
B= pé direito;</t>
  </si>
  <si>
    <t>Área de pintura interna/externa A*B:
A= Perímetro das paredes;
B= pé direito;</t>
  </si>
  <si>
    <t>Janela de correr em chapa de aço, com 02 folhas para vidro</t>
  </si>
  <si>
    <t>6126</t>
  </si>
  <si>
    <t>Área de Janelas A:
A= 1,0m x 0,8m (x3)  J1;
B= 1,05m x 0,5m (x2) J2.</t>
  </si>
  <si>
    <t>Vidro fantasia tipo canelado, espessura 4mm</t>
  </si>
  <si>
    <t>Emassamento com massa látex PVA para ambientes internos, uma demão</t>
  </si>
  <si>
    <t>Pintura látex acrílica ambientes internos/externos, duas demãos</t>
  </si>
  <si>
    <t>Porta de madeira compensada lisa para pintura, 0,60x2,10m, incluso aduela 2A, alizar 2A e dobradiça</t>
  </si>
  <si>
    <t>73910/001</t>
  </si>
  <si>
    <t>Porta de ferro, de abrir, veneziana, sem ferragens</t>
  </si>
  <si>
    <t>73933/003</t>
  </si>
  <si>
    <t>Área de Janelas A:
A= 0,8m x 2,1m (x4)  P1;</t>
  </si>
  <si>
    <t>Porta do wc (P2):</t>
  </si>
  <si>
    <t>4.2.15</t>
  </si>
  <si>
    <t>4.2.16</t>
  </si>
  <si>
    <t>4.2.17</t>
  </si>
  <si>
    <t>4.2.18</t>
  </si>
  <si>
    <t>4.2.19</t>
  </si>
  <si>
    <t>4.2.20</t>
  </si>
  <si>
    <t>4.2.21</t>
  </si>
  <si>
    <t>4.2.22</t>
  </si>
  <si>
    <t>4.2.23</t>
  </si>
  <si>
    <t>4.2.24</t>
  </si>
  <si>
    <t>4.2.25</t>
  </si>
  <si>
    <t>Montagem do material hidráulico da Casa de Química</t>
  </si>
  <si>
    <t>Montagem do material elétrico da Casa de Química</t>
  </si>
  <si>
    <t>Fossa séptica em alvenaria de tijolo cerâmico maciço dimensões externas 1,90x1,10x1,40m, 1.500 litros, revestida internamente com barra lisa, com tampa em concreto armado com espessura 8cm</t>
  </si>
  <si>
    <t>74197/001</t>
  </si>
  <si>
    <t>Execução da fossa</t>
  </si>
  <si>
    <t>74018/001</t>
  </si>
  <si>
    <t>Execução de vala de infiltração, dimensões externas 0,92x0,5x3,7m</t>
  </si>
  <si>
    <t xml:space="preserve">Serviço de escavação e fornecimento de materiais </t>
  </si>
  <si>
    <t>Caixas de inspeção</t>
  </si>
  <si>
    <t>Equipe para instalação dos materiais eletricos</t>
  </si>
  <si>
    <t>Cabo de cobre isolamento anti-chama 0,6/1kv 6,0mm2 (1 condutor), Verde</t>
  </si>
  <si>
    <t>Padrão polifásico completo em poste galv. de 3" x 5,0m</t>
  </si>
  <si>
    <t>13597 i</t>
  </si>
  <si>
    <t>Quadro de distribuição de embutir c/ barramento trifásico p/ 12 disjuntores unipolares em chapa de aço galv.</t>
  </si>
  <si>
    <t>13393 i</t>
  </si>
  <si>
    <t>Quadro de distribuição de embutir c/ barramento neutro p/ 18 disjuntores unipolares em chapa de aço galv.</t>
  </si>
  <si>
    <t>13402 i</t>
  </si>
  <si>
    <t>Área envolta da casa de química, das elevatórias, do reservatório apoiado e da ETA compacta</t>
  </si>
  <si>
    <t>Entrada da ETA</t>
  </si>
  <si>
    <t>Execução do Muro</t>
  </si>
  <si>
    <t>Volume de escavação A*B*C
A= comprimento do muro; B=largura da alvenaria; 
C= profundidade da base</t>
  </si>
  <si>
    <t>Alvenaria em pedra rachao ou pedra de mão, assentada com argamassa traço 1:6 (cimento e areia)</t>
  </si>
  <si>
    <t>74053/001</t>
  </si>
  <si>
    <t>Volume de alvenaria (A*B*C):
A= comprimento; B= largura; C= profundidade</t>
  </si>
  <si>
    <t>Alvenaria em tijolo ceramico furado 10x20x20cm, 1/2 vez, assentado em argamassa traço 1:2:8 (cimento, cal e areia), juntas 12mm</t>
  </si>
  <si>
    <t>Área de alvenaria (A*B) -C:
A= comprimento; B= altura; C= desconto dos pilares</t>
  </si>
  <si>
    <t>Pilares e cintas de travamento do muro A+B+C:
A = volume dos pilares;
B= volume da cinta inferior;
C= volume da cinta superior.</t>
  </si>
  <si>
    <t>Concertina em aço galvanizado, espiral de Ø = 450mm, 3 clipes p/ espiral, lâmina de 30mm e fio interno de 2,50mm, incluisive instalação</t>
  </si>
  <si>
    <t>Área para pintura de cal A+B:
A= comprimento do muro; B= altura.
(x2) interna e externa</t>
  </si>
  <si>
    <t>4.13</t>
  </si>
  <si>
    <t>4.13.1</t>
  </si>
  <si>
    <t>4.13.2</t>
  </si>
  <si>
    <t>4.13.3</t>
  </si>
  <si>
    <t>4.13.4</t>
  </si>
  <si>
    <t>4.13.5</t>
  </si>
  <si>
    <t>4.14</t>
  </si>
  <si>
    <t>4.14.1</t>
  </si>
  <si>
    <t>4.14.2</t>
  </si>
  <si>
    <t>4.9.1</t>
  </si>
  <si>
    <t>4.9.2</t>
  </si>
  <si>
    <t>4.9.3</t>
  </si>
  <si>
    <t>4.9.4</t>
  </si>
  <si>
    <t>4.9.5</t>
  </si>
  <si>
    <t>4.9.6</t>
  </si>
  <si>
    <t>4.9.7</t>
  </si>
  <si>
    <t>4.9.8</t>
  </si>
  <si>
    <t>4.9.9</t>
  </si>
  <si>
    <t>4.5.7</t>
  </si>
  <si>
    <t>4.12.3</t>
  </si>
  <si>
    <t>4.12.4</t>
  </si>
  <si>
    <t>4.12.5</t>
  </si>
  <si>
    <t>4.13.6</t>
  </si>
  <si>
    <t>4.13.7</t>
  </si>
  <si>
    <t>4.13.8</t>
  </si>
  <si>
    <t>4.13.9</t>
  </si>
  <si>
    <t>4.13.10</t>
  </si>
  <si>
    <t>4.13.11</t>
  </si>
  <si>
    <t>4.13.12</t>
  </si>
  <si>
    <t>4.13.13</t>
  </si>
  <si>
    <t>4.15</t>
  </si>
  <si>
    <t>4.15.1</t>
  </si>
  <si>
    <t>4.15.2</t>
  </si>
  <si>
    <t>4.15.3</t>
  </si>
  <si>
    <t xml:space="preserve">Tampa de concreto armado 60x60x5cm para caixa </t>
  </si>
  <si>
    <t xml:space="preserve">Caixa de inspeção em anel de concreto pre-moldado, com 950mm de altura total. Aneis com esp=50mm, diam.=600mm. Inclusive fornecimento e instalação. Exclusive tampão e escavação </t>
  </si>
  <si>
    <t>74166/002</t>
  </si>
  <si>
    <t>Número de caixas de drenagem</t>
  </si>
  <si>
    <t>Volume de aterro da escavação:
A= Total de Volume escavado;</t>
  </si>
  <si>
    <t>Execução da Drenagem</t>
  </si>
  <si>
    <t>4.15.4</t>
  </si>
  <si>
    <t>4.15.5</t>
  </si>
  <si>
    <t>4.16</t>
  </si>
  <si>
    <t>4.16.1</t>
  </si>
  <si>
    <t>4.16.2</t>
  </si>
  <si>
    <t>4.16.3</t>
  </si>
  <si>
    <t>4.16.4</t>
  </si>
  <si>
    <t>4.16.5</t>
  </si>
  <si>
    <t>4.17</t>
  </si>
  <si>
    <t>4.17.1</t>
  </si>
  <si>
    <t>4.17.2</t>
  </si>
  <si>
    <t>4.18</t>
  </si>
  <si>
    <t>4.18.1</t>
  </si>
  <si>
    <t>4.18.2</t>
  </si>
  <si>
    <t>4.18.3</t>
  </si>
  <si>
    <t>4.18.4</t>
  </si>
  <si>
    <t>4.18.5</t>
  </si>
  <si>
    <t>4.18.6</t>
  </si>
  <si>
    <t>4.18.7</t>
  </si>
  <si>
    <t>4.18.8</t>
  </si>
  <si>
    <t>4.18.9</t>
  </si>
  <si>
    <t>4.18.10</t>
  </si>
  <si>
    <t>3.2.10</t>
  </si>
  <si>
    <t>3.2.11</t>
  </si>
  <si>
    <t>3.2.12</t>
  </si>
  <si>
    <t>3.2.15</t>
  </si>
  <si>
    <t>3.2.16</t>
  </si>
  <si>
    <t>3.2.17</t>
  </si>
  <si>
    <t>3.2.18</t>
  </si>
  <si>
    <t>3.2.19</t>
  </si>
  <si>
    <t>3.2.20</t>
  </si>
  <si>
    <t>3.2.21</t>
  </si>
  <si>
    <t>3.3.9</t>
  </si>
  <si>
    <t>3.3.11</t>
  </si>
  <si>
    <t>3.4.9</t>
  </si>
  <si>
    <t>3.4.10</t>
  </si>
  <si>
    <t>3.4.11</t>
  </si>
  <si>
    <t>3.8.45</t>
  </si>
  <si>
    <t>3.8.46</t>
  </si>
  <si>
    <t>3.8.47</t>
  </si>
  <si>
    <t>3.8.48</t>
  </si>
  <si>
    <t>3.8.49</t>
  </si>
  <si>
    <t>Material elétrico da Casa de Química</t>
  </si>
  <si>
    <t>3.9.16</t>
  </si>
  <si>
    <t>74034/001</t>
  </si>
  <si>
    <t>Volume de espalhamento A*B
A= Área de espalhamento; B= Profundidade</t>
  </si>
  <si>
    <t>Área de forma dos blocos A+B:
A= 3x blocos para curvas de 90°;
B= 1x bloco de 45°.</t>
  </si>
  <si>
    <t>Volume de concreto dos blocos A+B:
A= 3x blocos para curvas de 90°;
B= 1x bloco de 45°.</t>
  </si>
  <si>
    <t>Blocos de ancoragem</t>
  </si>
  <si>
    <t>5.4.4</t>
  </si>
  <si>
    <t>5.4.5</t>
  </si>
  <si>
    <t>5.4.6</t>
  </si>
  <si>
    <t>5.5</t>
  </si>
  <si>
    <t>5.5.1</t>
  </si>
  <si>
    <t>5.5.2</t>
  </si>
  <si>
    <t>5.5.3</t>
  </si>
  <si>
    <t>Volume de concreto dos blocos A+B:
A= 2x blocos para curvas de 90°;
B= 6x bloco de 45°;
C= 3x bloco de 22°.</t>
  </si>
  <si>
    <t>Área de forma dos blocos A+B:
A= 2x blocos para curvas de 90°;
B= 6x bloco de 45°;
C= 3x bloco de 22°.</t>
  </si>
  <si>
    <t>Área de forma:</t>
  </si>
  <si>
    <t>Volume de concreto:</t>
  </si>
  <si>
    <t>Área de alvenaria:</t>
  </si>
  <si>
    <t>Área das paredes do Leito "A" x 2:
(x2) interno/externo</t>
  </si>
  <si>
    <t xml:space="preserve">Área de chapisco: </t>
  </si>
  <si>
    <t>Área no fundo do leito A*B:
A= espessura; B= Área</t>
  </si>
  <si>
    <r>
      <rPr>
        <sz val="8"/>
        <rFont val="Arial Narrow"/>
        <family val="2"/>
      </rPr>
      <t>OBRA:</t>
    </r>
    <r>
      <rPr>
        <b/>
        <sz val="8"/>
        <rFont val="Arial Narrow"/>
        <family val="2"/>
      </rPr>
      <t xml:space="preserve"> SISTEMA DE ABASTECIMENTO DE ÁGUA - NOSSA SENHORA DE LOURDES/SE (SAA NNL)</t>
    </r>
  </si>
  <si>
    <t>Codevasf_06</t>
  </si>
  <si>
    <t>Codevasf_13</t>
  </si>
  <si>
    <t>Codevasf_14</t>
  </si>
  <si>
    <t>Codevasf_09</t>
  </si>
  <si>
    <t>Codevasf_21</t>
  </si>
  <si>
    <t>Codevasf_20</t>
  </si>
  <si>
    <t>Codevasf_19</t>
  </si>
  <si>
    <t>6171</t>
  </si>
  <si>
    <t>Codevasf_07</t>
  </si>
  <si>
    <t>Chapisco em paredes traço 1:4 (cimento e areia), espessura 0,5cm, preparo mecânico</t>
  </si>
  <si>
    <t xml:space="preserve">Concreto armado 15MPA e 77kg/m³ de aço, preparo c/ betoneira, incluso forma e lançamento </t>
  </si>
  <si>
    <t>Volume de aterro da vala de assentamento da adutora
A= Total de Volume escavado em material de 1ª;
B= Total de Volume escavado em material de 2ª;</t>
  </si>
  <si>
    <t>Volume de aterro da vala de assentamento da adutora
A= Total de Volume escavado em material de 1°;
B= Total de Volume escavado em material de 3°;</t>
  </si>
  <si>
    <t>Alvenaria em tijolo cerâmico furado 10x20x20cm, 1 vez, assentado em argamassa traço 1:2:8 (cimento, cal e areia), juntas 12mm</t>
  </si>
  <si>
    <t>73987/001</t>
  </si>
  <si>
    <t>Espalhamento de material de 1a categoria com trator de esteira com 153HP</t>
  </si>
  <si>
    <t>Banca (tampo) de marmore sintetico 120x60cm com cuba, valvula em plastico branco 1", sifao plastico tipo copo 1" e torneira cromada longa 1/2" ou 3/4" para pia padrao popular - fornecimento e instalação</t>
  </si>
  <si>
    <t>Lavatorio em louca branca, sem coluna padrao popular, com torneira cromada popular , sifao,valvula e engate plastico - fornecimento e instalacão</t>
  </si>
  <si>
    <t>Vaso sanitario, assento plastico, caixa de descarga pvc de sobrepor, engate plastico, tubo de descida e bolsa de borracha - fornecimento e instalação</t>
  </si>
  <si>
    <t>Papeleira de louca branca - fornecimento e instalação</t>
  </si>
  <si>
    <t>Porta-toalha de louca branca com bastão plastico - fornecimento e instalação</t>
  </si>
  <si>
    <t>Chuveiro plastico branco simples - fornecimento e instalação</t>
  </si>
  <si>
    <t>Montagem de painel de partida p/conj. de 5,1 a 15cv</t>
  </si>
  <si>
    <t>Montagem de painel de partida p/conj. de 20cv</t>
  </si>
  <si>
    <t>5.2.3</t>
  </si>
  <si>
    <t>05197/ORSE</t>
  </si>
  <si>
    <t>05198/ORSE</t>
  </si>
  <si>
    <t>03312/ORSE</t>
  </si>
  <si>
    <t>03313/ORSE</t>
  </si>
  <si>
    <t>65 i</t>
  </si>
  <si>
    <t>05196/ORSE</t>
  </si>
  <si>
    <t>Curva 90° ferro galv eletrolitico 1" p/ eletroduto</t>
  </si>
  <si>
    <t>Curva 90° com flanges, PN10, DN=150mm</t>
  </si>
  <si>
    <t>Curva 90° com flanges, PN10, DN=100mm</t>
  </si>
  <si>
    <t>Curva 90° com flanges, PN-10, DN=100mm</t>
  </si>
  <si>
    <t>Curva 90° com flanges, PN10, DN=250mm</t>
  </si>
  <si>
    <t>Curva 90° com flanges, PN10, DN=200mm</t>
  </si>
  <si>
    <t>Curva 90° com flanges e pé, PN10, DN=200mm</t>
  </si>
  <si>
    <t>Curva 90° com flanges e pé, PN10, DN=250mm</t>
  </si>
  <si>
    <t>Curva 90° com flanges e pé, PN10, DN=150mm</t>
  </si>
  <si>
    <t>05201/ORSE</t>
  </si>
  <si>
    <t>Arruelas de borracha p/ junta c/ flange, PN10, D=100mm</t>
  </si>
  <si>
    <t>Arruelas de borracha p/ junta c/ flange, PN10, D=80mm</t>
  </si>
  <si>
    <t>Arruelas de borracha p/ junta c/ flange, PN10, D=150mm</t>
  </si>
  <si>
    <t>Arruelas de borracha p/ junta c/ flange, PN10, D=250mm</t>
  </si>
  <si>
    <t>Arruelas de borracha p/ junta c/ flange, PN10, D=200mm</t>
  </si>
  <si>
    <t>05199/ORSE</t>
  </si>
  <si>
    <t>08787/ORSE</t>
  </si>
  <si>
    <t>11717 i</t>
  </si>
  <si>
    <t>Cantoneira ferro galv 'L" 2" x 3/8" - (6,9 kg/m)</t>
  </si>
  <si>
    <t>05214/ORSE</t>
  </si>
  <si>
    <t>Cap pvc sold p/ esg predial DN=100 mm</t>
  </si>
  <si>
    <t>1200 i</t>
  </si>
  <si>
    <t>05299/ORSE</t>
  </si>
  <si>
    <t>05308/ORSE</t>
  </si>
  <si>
    <t>05333/ORSE</t>
  </si>
  <si>
    <t>05334/ORSE</t>
  </si>
  <si>
    <t>05359/ORSE</t>
  </si>
  <si>
    <t>Curva 90° com flanges e pé, PN10, DN=100mm</t>
  </si>
  <si>
    <t>Curva 45° com bolsas, JGS, PN10, DN=100mm</t>
  </si>
  <si>
    <t>Curva 22° com bolsas, JGS, PN10, DN=100mm</t>
  </si>
  <si>
    <t>Curva 90° com bolsas, JGS, PN10, DN=100mm</t>
  </si>
  <si>
    <t>Curva 45° com bolsas, JGS, PN10, DN=150mm</t>
  </si>
  <si>
    <t>Curva 22° com bolsas, JGS, PN10, DN=150mm</t>
  </si>
  <si>
    <t>Curva 11° com bolsas, JGS, PN10, DN=150mm</t>
  </si>
  <si>
    <t>Curva 90° com bolsas, JGS, PN10, DN=150mm</t>
  </si>
  <si>
    <t>Curva 45° com bolsas, JGS, PN10, DN=250mm</t>
  </si>
  <si>
    <t>Disjuntor monofasico 10A, 2kA (220v)</t>
  </si>
  <si>
    <t>Disjuntor monofasico 35A, 2kA (220v)</t>
  </si>
  <si>
    <t>Extremidade em fofo, bolsa e flange, JE, PN10, DN=150mm</t>
  </si>
  <si>
    <t>Extremidade em fofo, flange e ponta, com aba de vedação, PN10, DN=100mm</t>
  </si>
  <si>
    <t>Extremidade em fofo, com pontas e aba de vedação, PN10, DN=100mm, L=0,70m</t>
  </si>
  <si>
    <t>Extremidade em fofo, bolsa e flange, PN10, DN=250mm</t>
  </si>
  <si>
    <t>Extremidade em fofo, flange e ponta, PN10, DN=250mm</t>
  </si>
  <si>
    <t>Extremidade em fofo, flange e ponta, PN10, DN=150mm</t>
  </si>
  <si>
    <t>Extremidade em fofo, flange e ponta, PN10, DN=100mm</t>
  </si>
  <si>
    <t>Joelho 90° PVC série norma,l com bolsa e anel de borracha, DN40mm</t>
  </si>
  <si>
    <t>Adaptador p/ saída de vaso sanitário, DN100mm</t>
  </si>
  <si>
    <t>10835 i</t>
  </si>
  <si>
    <t>3518 i</t>
  </si>
  <si>
    <t>3520 i</t>
  </si>
  <si>
    <t>3526 i</t>
  </si>
  <si>
    <t>3517 i</t>
  </si>
  <si>
    <t>Junta Gibault, PN10, DN150</t>
  </si>
  <si>
    <t>Registro de gaveta fofo, c/ flanges, volante e cunha de borracha, PN10, DN=250mm</t>
  </si>
  <si>
    <t>Registro de gaveta fofo, c/ flanges, volante e cunha de borracha, PN10, DN=200mm</t>
  </si>
  <si>
    <t>Registro de pressão, DN=3/4"</t>
  </si>
  <si>
    <t>Registro de gaveta, PN10, DN=1"</t>
  </si>
  <si>
    <t>05702/ORSE</t>
  </si>
  <si>
    <t>05721/ORSE</t>
  </si>
  <si>
    <t>05722/ORSE</t>
  </si>
  <si>
    <t>05733/ORSE</t>
  </si>
  <si>
    <t>Tê em fofo c/ flanges, PN10, DN=150mm x 100mm</t>
  </si>
  <si>
    <t>7091 i</t>
  </si>
  <si>
    <t>7140 i</t>
  </si>
  <si>
    <t>Tê de redução, soldável e com bucha de latão, DN=32mm x 3/4"</t>
  </si>
  <si>
    <t>7114 i</t>
  </si>
  <si>
    <t>3527 i</t>
  </si>
  <si>
    <t>Joelho redução soldável com bucha de latão, DN=32mm x 3/4"</t>
  </si>
  <si>
    <t>05764/ORSE</t>
  </si>
  <si>
    <t>05768/ORSE</t>
  </si>
  <si>
    <t>05766/ORSE</t>
  </si>
  <si>
    <t>05761/ORSE</t>
  </si>
  <si>
    <t>Toco em fofo c/ flanges, PN10, DN=100mm, L=0,25m</t>
  </si>
  <si>
    <t>Toco em fofo c/ flanges, PN10, DN=250mm, L=0,25m</t>
  </si>
  <si>
    <t>Toco em fofo c/ flanges, PN10, DN=200mm, L=0,50m</t>
  </si>
  <si>
    <t>Toco em fofo c/ flanges, PN10, DN=150mm, L=0,50m</t>
  </si>
  <si>
    <t>Toco em fofo c/ flanges, PN10, DN=100mm, L=0,50m</t>
  </si>
  <si>
    <t>05763/ORSE</t>
  </si>
  <si>
    <t>Tubo PVC DEFOFO, JE, 1MPa, DN=250mm</t>
  </si>
  <si>
    <t>9826 i</t>
  </si>
  <si>
    <t>Tubo PVC DEFOFO, JE, 1MPa, DN=200mm</t>
  </si>
  <si>
    <t>9829 i</t>
  </si>
  <si>
    <t>Tubo PVC DEFOFO, JE, 1MPa, DN=150mm</t>
  </si>
  <si>
    <t>9828 i</t>
  </si>
  <si>
    <t>Tubo PVC soldável, DN=32mm</t>
  </si>
  <si>
    <t>Tubo PVC soldável, DN=25mm</t>
  </si>
  <si>
    <t>06067/ORSE</t>
  </si>
  <si>
    <t>05847/ORSE</t>
  </si>
  <si>
    <t>Tubo em fofo c/ flanges, PN10, DN=100mm, L=0,90m</t>
  </si>
  <si>
    <t>Tubo em fofo c/ flanges, PN10, DN=100mm, L=0,75m</t>
  </si>
  <si>
    <t>Tubo em fofo c/ flanges, PN10, DN=150mm, L=1,70m</t>
  </si>
  <si>
    <t>Tubo em fofo c/ flanges, PN10, DN=150mm, L=0,95m</t>
  </si>
  <si>
    <t>Tubo em fofo c/ flanges, PN10, DN=150mm, L=0,57m</t>
  </si>
  <si>
    <t>Tubo em fofo c/ flanges, PN10, DN=150mm, L=0,65m</t>
  </si>
  <si>
    <t>Tubo em fofo c/ flanges, PN10, DN=250mm, L=1,00m</t>
  </si>
  <si>
    <t>Tubo em fofo c/ flanges, PN10, DN=250mm, L=0,60m</t>
  </si>
  <si>
    <t>Tubo em fofo c/ flanges, PN10, DN=200mm, L=2,35m</t>
  </si>
  <si>
    <t>Tubo em fofo c/ flanges, PN10, DN=200mm, L=0,85m</t>
  </si>
  <si>
    <t>Tubo em fofo c/ flanges, PN10, DN=250mm, L=0,40m</t>
  </si>
  <si>
    <t>Tubo em fofo c/ flanges, PN10, DN=150mm, L=1,29m</t>
  </si>
  <si>
    <t>Tubo em fofo c/ flanges, PN10, DN=100mm, L=3,00m</t>
  </si>
  <si>
    <t>Tubo em fofo c/ flanges, PN10, DN=100mm, L=0,58m</t>
  </si>
  <si>
    <t>Tubo em fofo c/ flanges, PN10, DN=100mm, L=1,0m</t>
  </si>
  <si>
    <t>Tubo em fofo c/ flanges, PN-10, DN=100mm, L=0,78m</t>
  </si>
  <si>
    <t>Tubo em fofo c/ flanges, PN10, DN=100mm, L=0,55m</t>
  </si>
  <si>
    <t>Tubo em fofo c/ flanges, PN10, DN=100mm, L=1,25m</t>
  </si>
  <si>
    <t xml:space="preserve">Eletroduto metálico flexivel rev ext pvc preto 32mm </t>
  </si>
  <si>
    <t>2501 i</t>
  </si>
  <si>
    <t>10235 i</t>
  </si>
  <si>
    <t>Válvula de retenção vertical de fechamento rápido entre flanges, PN10, DN=100mm</t>
  </si>
  <si>
    <t>Válvula de retenção horizontal de fechamento rápido entre flanges, PN10, DN=100mm</t>
  </si>
  <si>
    <t>10408 i</t>
  </si>
  <si>
    <t>Válvula de retenção vertical de fechamento rápido entre flanges, PN10, DN=150mm</t>
  </si>
  <si>
    <t>10414 i</t>
  </si>
  <si>
    <t>10415 i</t>
  </si>
  <si>
    <t>Válvula de retenção vertical de fechamento rápido entre flanges, PN10, DN=200mm</t>
  </si>
  <si>
    <t>06430/ORSE</t>
  </si>
  <si>
    <t>Niple de ferro galv, DN=3/4"</t>
  </si>
  <si>
    <t xml:space="preserve">Luva pvc roscavel p/ eletroduto 1" </t>
  </si>
  <si>
    <t>Luva pvc roscavel p/ eletroduto 1.1/2"</t>
  </si>
  <si>
    <t xml:space="preserve">Luva pvc roscavel p/ eletroduto 1.1/4" </t>
  </si>
  <si>
    <t>Luva pvc roscavel p/ eletroduto 2"</t>
  </si>
  <si>
    <t>Adaptador soldável, curto com bolsa e rosca  para registro, DN=32mm x 1"</t>
  </si>
  <si>
    <t>Adaptador soldável curto, com bolsa e rosca  para registro, DN=25mm x 3/4"</t>
  </si>
  <si>
    <t>Tê 90° soldável, DN=32mm</t>
  </si>
  <si>
    <t>Tê 90° soldável, DN= 25mm</t>
  </si>
  <si>
    <t>Redução soldável, DN= 32mm x DN= 25 mm</t>
  </si>
  <si>
    <t>Joelho 90° soldável, DN= 32mm</t>
  </si>
  <si>
    <t>Tê 90° de redução, soldável DN= 32mm x DN= 25mm</t>
  </si>
  <si>
    <t>Tê 90° soldável com bucha de latão, DN=25mm x 1/2"</t>
  </si>
  <si>
    <t>Joelho 90° de redução, soldável e com bucha de latão, DN=25mm x 1/2"</t>
  </si>
  <si>
    <t>Joelho 90° soldável, DN= 25mm</t>
  </si>
  <si>
    <t>Cap em fofo, JE, DN=100mm</t>
  </si>
  <si>
    <t>Cruzeta em fofo, c/ bolsas, JE, PN10, DN=100mm</t>
  </si>
  <si>
    <t>05388/ORSE</t>
  </si>
  <si>
    <t>05389/ORSE</t>
  </si>
  <si>
    <t>05373/ORSE</t>
  </si>
  <si>
    <t>05374/ORSE</t>
  </si>
  <si>
    <t>05371/ORSE</t>
  </si>
  <si>
    <t>05360/ORSE</t>
  </si>
  <si>
    <t>Joelho de 90°, p/ esg predial, PVC série normal, DN40mm</t>
  </si>
  <si>
    <t>Joelho de 45°, p/ esg predial, PVC série normal, DN50mm</t>
  </si>
  <si>
    <t>Joelho de 45°, p/ esg predial, PVC série normal, DN40mm</t>
  </si>
  <si>
    <t>Curva 90° curta, p/ esg predial, PVC série normal, DN=100mm</t>
  </si>
  <si>
    <t>Tê, p/ esg predial, PVC série normal, DN100mm</t>
  </si>
  <si>
    <t>Joelho de 90°, p/ esg predial, PVC série normal, DN100mm</t>
  </si>
  <si>
    <t>Joelho de 90°, p/ esg predial, PVC série normal, DN50mm</t>
  </si>
  <si>
    <t>Disjuntor termomagnético tripolar 50A</t>
  </si>
  <si>
    <t>Disjuntor termomagnético tripolar 70A</t>
  </si>
  <si>
    <t>2392 i</t>
  </si>
  <si>
    <t>2381 i</t>
  </si>
  <si>
    <t>Disjuntor termomagnético tripolar 40A</t>
  </si>
  <si>
    <t>2380 i</t>
  </si>
  <si>
    <t>Extremidade em fofo, bolsa e flange, PN10, JE, DN=200mm</t>
  </si>
  <si>
    <t>Extremidade em fofo, flange e ponta, PN10, JE, DN=150mm</t>
  </si>
  <si>
    <t>Extremidade em fofo, bolsa e flange, PN10, JE, DN=150mm</t>
  </si>
  <si>
    <t>Extremidade em fofo, bolsa e flange, PN10, JE, DN=100mm</t>
  </si>
  <si>
    <t>3516 i</t>
  </si>
  <si>
    <t>Mangote flexível, DN=100mm</t>
  </si>
  <si>
    <t>Redução em fofo c/ ponta e bolsa, JGS, DN=150mm x DN=100mm</t>
  </si>
  <si>
    <t>Redução em fofo c/ ponta e bolsa, JGS, DN=250mm x DN=150mm</t>
  </si>
  <si>
    <t>Tê em fofo c/ flanges, PN10, DN=100mm x DN=80mm</t>
  </si>
  <si>
    <t>Tê em fofo c/ flanges, PN10, DN=100mm</t>
  </si>
  <si>
    <t>Tê em fofo c/ bolsas, JGS, PN10, DN=100mm</t>
  </si>
  <si>
    <t>Tê em fofo c/ flanges, PN10, DN=250mm</t>
  </si>
  <si>
    <t>Tê em fofo c/ flanges, PN10, DN=200mm</t>
  </si>
  <si>
    <t>Tê em fofo c/ flanges, PN10, DN=150mm</t>
  </si>
  <si>
    <t>Niple de ferro galv, DN=1"</t>
  </si>
  <si>
    <t>Tubo de aço galv. 1"</t>
  </si>
  <si>
    <t>21010 i</t>
  </si>
  <si>
    <t>4179 i</t>
  </si>
  <si>
    <t>Válvula redutora de pressão roscável, PN10, DN=1"</t>
  </si>
  <si>
    <t>Conf. especif.</t>
  </si>
  <si>
    <t>9886 i</t>
  </si>
  <si>
    <t>União ferro galv. rosca, DN=1"</t>
  </si>
  <si>
    <t>F° galv.</t>
  </si>
  <si>
    <t>3472 i</t>
  </si>
  <si>
    <t>Joelho 90° ferro galv. rosca, DN=1"</t>
  </si>
  <si>
    <t>Adaptador pvc soldavel curto c/ bolsa e rosca p/ registro 32mm x 1"</t>
  </si>
  <si>
    <t>3.4.25</t>
  </si>
  <si>
    <t>3.4.26</t>
  </si>
  <si>
    <t>3.4.27</t>
  </si>
  <si>
    <t>3.4.28</t>
  </si>
  <si>
    <t>3.4.29</t>
  </si>
  <si>
    <t>3.4.30</t>
  </si>
  <si>
    <t>3.4.31</t>
  </si>
  <si>
    <t>3.4.32</t>
  </si>
  <si>
    <t>06347/ORSE</t>
  </si>
  <si>
    <t>318 i</t>
  </si>
  <si>
    <t>Anel borracha p/ tubo pvc de fofo DN=150mm</t>
  </si>
  <si>
    <t>1.1.29</t>
  </si>
  <si>
    <t>Anel borracha p/ tubo pvc de fofo DN=100mm</t>
  </si>
  <si>
    <t>311 i</t>
  </si>
  <si>
    <t>2.1.5</t>
  </si>
  <si>
    <t>3.1.15</t>
  </si>
  <si>
    <t>3.5.23</t>
  </si>
  <si>
    <t>4.1.6</t>
  </si>
  <si>
    <t>3.3.33</t>
  </si>
  <si>
    <t>320 i</t>
  </si>
  <si>
    <t>Anel borracha p/ tubo pvc de fofo DN=250mm</t>
  </si>
  <si>
    <t>3.4.33</t>
  </si>
  <si>
    <t>Ventosa de simples, com rosca, PN10, DN=3/4"</t>
  </si>
  <si>
    <t>Volume de aterro da escavação para o assentamento da adutora A*B
A= Total de Volume escavado em material de 3ª;
B=Fator de redução 1,10</t>
  </si>
  <si>
    <t>Comprimento do muro:</t>
  </si>
  <si>
    <t>Área de Revestimento do muro A x B (x2):
A=comprimento do muro; B=altura da alvenaria; 
2 (interna e externa).</t>
  </si>
  <si>
    <t>Área de Revestimento do muro:
A=área de alvenaria.</t>
  </si>
  <si>
    <t>Volume de aterro da escavação de 3ª A*B
A= Total de Volume escavado;
B=Fator de redução 1,10</t>
  </si>
  <si>
    <t>568 i</t>
  </si>
  <si>
    <t>Colar de tomada em fofo, PN10, DN=100mm x DN=3/4"</t>
  </si>
  <si>
    <t>Colar de tomada em fofo, PN10, DN=200mm x DN=3/4"</t>
  </si>
  <si>
    <t>Colar de tomada em fofo, PN10, DN=150mm x DN=3/4"</t>
  </si>
  <si>
    <t>Colar de tomada em fofo, PN10, DN=150mm x DN=1"</t>
  </si>
  <si>
    <t>3635 i</t>
  </si>
  <si>
    <t>3598 i</t>
  </si>
  <si>
    <t>3721 i</t>
  </si>
  <si>
    <t>05406/ORSE</t>
  </si>
  <si>
    <t>05407/ORSE</t>
  </si>
  <si>
    <t>05404/ORSE</t>
  </si>
  <si>
    <t>05405/ORSE</t>
  </si>
  <si>
    <t>05441/ORSE</t>
  </si>
  <si>
    <t>05423/ORSE</t>
  </si>
  <si>
    <t>05424/ORSE</t>
  </si>
  <si>
    <t>05421/ORSE</t>
  </si>
  <si>
    <t>05460/ORSE</t>
  </si>
  <si>
    <t>05469/ORSE</t>
  </si>
  <si>
    <t>Flange cego, em fofo, PN10, DN=200mm</t>
  </si>
  <si>
    <t>05468/ORSE</t>
  </si>
  <si>
    <t>Flange cego, em fofo, PN10, DN=150mm</t>
  </si>
  <si>
    <t>05529/ORSE</t>
  </si>
  <si>
    <t>Luva com bolsas, JGS, em fofo, DN100</t>
  </si>
  <si>
    <t>05530/ORSE</t>
  </si>
  <si>
    <t>Luva com bolsas, JGS, em fofo, DN150</t>
  </si>
  <si>
    <t>05532/ORSE</t>
  </si>
  <si>
    <t>Luva com bolsas, JGS, em fofo, DN250</t>
  </si>
  <si>
    <t>05621/ORSE</t>
  </si>
  <si>
    <t>06346/ORSE</t>
  </si>
  <si>
    <t>Registro de gaveta em fofo, c/ flanges, cabeçote e cunha de borracha, PN16, DN=80mm</t>
  </si>
  <si>
    <t>06348/ORSE</t>
  </si>
  <si>
    <t>06350/ORSE</t>
  </si>
  <si>
    <t>Registro de gaveta fofo, c/ flanges, volante e cunha de borracha, PN16, DN=100mm</t>
  </si>
  <si>
    <t>06351/ORSE</t>
  </si>
  <si>
    <t>Registro de gaveta fofo, c/ flanges, volante e cunha de borracha, PN16, DN=150mm</t>
  </si>
  <si>
    <t>06358/ORSE</t>
  </si>
  <si>
    <t>Registro de gaveta fofo, c/ flange, volante e cunha de borracha, PN16, DN=100mm</t>
  </si>
  <si>
    <t>Registro de gaveta fofo, c/ flanges, cabeçote e cunha de borracha, PN16, DN=100mm</t>
  </si>
  <si>
    <t>05729/ORSE</t>
  </si>
  <si>
    <t>05747/ORSE</t>
  </si>
  <si>
    <t>05844/ORSE</t>
  </si>
  <si>
    <t>05874/ORSE</t>
  </si>
  <si>
    <t>Cotação 2.1</t>
  </si>
  <si>
    <t>Cotação 3.1</t>
  </si>
  <si>
    <t>Cotação 5.1</t>
  </si>
  <si>
    <t>Cotação 5.2</t>
  </si>
  <si>
    <t>Bomba centrífuga de eixo horizontal, vazão de 15,36L/s, AMT: 45,85 mca, motor trifásico 380v, potência 15cv. Incluso conexões para acoplamento nas tubulações de recalque e sucção ambas com DN150 flangeadas</t>
  </si>
  <si>
    <t>Bomba centrífuga de eixo horizontal, vazão de 48,33L/s, AMT: 17 mca, motor trifásico 380v, potência 20cv. Incluso conexões para acoplamento nas tubulações de recalquede recalque DN200 flageada e sucção DN250 flangeada</t>
  </si>
  <si>
    <t>Cotação 6.1</t>
  </si>
  <si>
    <t>Cotação 6.2</t>
  </si>
  <si>
    <t>Cotação 7.1</t>
  </si>
  <si>
    <t>Cotação 8.1</t>
  </si>
  <si>
    <t>Cotação 9.1</t>
  </si>
  <si>
    <t>Cotação 1.1</t>
  </si>
  <si>
    <t>Cotação 1.2</t>
  </si>
  <si>
    <t>Cotação 1.3</t>
  </si>
  <si>
    <t>Cotação 1.4</t>
  </si>
  <si>
    <t>Cotação 1.5</t>
  </si>
  <si>
    <t>Cotação 1.6</t>
  </si>
  <si>
    <t>Cotação 1.7</t>
  </si>
  <si>
    <t>Cotação 1.8</t>
  </si>
  <si>
    <t>Cotação 1.9</t>
  </si>
  <si>
    <t>Cotação 1.10</t>
  </si>
  <si>
    <t>Cotação 1.11</t>
  </si>
  <si>
    <t>Tubo com flange e ponta, PN10, DN150mm, L=2,80m</t>
  </si>
  <si>
    <t>Tubo com flange e ponta, PN10, DN=150mm, L=5,50m</t>
  </si>
  <si>
    <t>Cotação 1.14</t>
  </si>
  <si>
    <t>Tubo em fofo, c/ flange e ponta, PN10, DN=80mm, L=1,95m</t>
  </si>
  <si>
    <t>Cotação 1.15</t>
  </si>
  <si>
    <t>Cotação 1.16</t>
  </si>
  <si>
    <t>Cotação 1.17</t>
  </si>
  <si>
    <t>Cotação 1.18</t>
  </si>
  <si>
    <t>Cotação 1.19</t>
  </si>
  <si>
    <t>Cotação 1.20</t>
  </si>
  <si>
    <t>Cotação 1.21</t>
  </si>
  <si>
    <t>Cotação 1.22</t>
  </si>
  <si>
    <t>Cotação 1.23</t>
  </si>
  <si>
    <t>Cotação 1.24</t>
  </si>
  <si>
    <t>Cotação 1.25</t>
  </si>
  <si>
    <t>Cotação 1.26</t>
  </si>
  <si>
    <t>Cotação 1.27</t>
  </si>
  <si>
    <t>Cotação 1.28</t>
  </si>
  <si>
    <t>Passeio cimentado com revestimento em argamassa de cimento e areia, traço 1:3, e = 2,0 cm; inclusive base de concreto consumo de 150 kg/m³; e = 5,0 cm</t>
  </si>
  <si>
    <t>Grade metálica em tela #5cm, fio de 1/8", soldada em quadro de cantoneira de ferro galv. 2" x 3/8" - (6,9 KG/M), incluso dobradiças. Fornecimento e inst.</t>
  </si>
  <si>
    <t>Portão ferro abrir em tela 2 folhas, 400 x 245cm, inclusive ferragens</t>
  </si>
  <si>
    <t>Codevasf_17</t>
  </si>
  <si>
    <t>Execução das instalações hidráulicas (água fria e esgoto)</t>
  </si>
  <si>
    <t>Serviço de instalação dos materiais dos sistemas de água fria e esgoto</t>
  </si>
  <si>
    <t>Assentamento de tubos de PVC DEFOFO, junta elástica, PN 1Mpa, DN=150mm</t>
  </si>
  <si>
    <t>73888/003</t>
  </si>
  <si>
    <t>73888/004</t>
  </si>
  <si>
    <t>4.13.14</t>
  </si>
  <si>
    <t>Codevasf_23</t>
  </si>
  <si>
    <t>Material filtrante do leito de secagem - Fornecimento e enchimento</t>
  </si>
  <si>
    <t>Celulas do leito de secagem</t>
  </si>
  <si>
    <t>Caixa em alvenaria enterrada, de tijolos cerâmicos maciços 1/2 vez, dimensões externas 60x60x60cm, incluso tampa em concreto e emboçamento</t>
  </si>
  <si>
    <t>Instalada na estrutura da estação elevatória</t>
  </si>
  <si>
    <t>Codevasf_24</t>
  </si>
  <si>
    <t>Monovia em viga metálica de aço estrutural perfil "I" 12" x 5 1/4" x 5,4m - Incluso Talha manual 0,5 t, elev.=5,0 m e troles manuais</t>
  </si>
  <si>
    <t>Regularização de fundo de vala com soquete</t>
  </si>
  <si>
    <t>5622</t>
  </si>
  <si>
    <t>Área do fundo da vala A*B
A= comprimento; B=largura.</t>
  </si>
  <si>
    <t>5.1.9</t>
  </si>
  <si>
    <t>Meio-fio (guia) de concreto pré-moldado, dimensões 12x15x30x100cm (face superior x face inferior x altura x comprimento), rejuntado c/argamassa 1:4 cimento:areia, incluindo escavação e reaterro.</t>
  </si>
  <si>
    <t>74223/001</t>
  </si>
  <si>
    <t>4.17.3</t>
  </si>
  <si>
    <t>Comprimento envolta da pavimentação</t>
  </si>
  <si>
    <t>Cotação 11</t>
  </si>
  <si>
    <t>Fibra de vidro</t>
  </si>
  <si>
    <t>Comporta com guias (stop log), em fibra de vidro, dimensões: L=40cm x H=50cm</t>
  </si>
  <si>
    <t>Sistema de automação para controle de nível de reservatório elevado - fornecimento e instalação</t>
  </si>
  <si>
    <t>Cotação 1.12</t>
  </si>
  <si>
    <t>Cotação 1.13</t>
  </si>
  <si>
    <t>05617/ORSE</t>
  </si>
  <si>
    <t>21134 i</t>
  </si>
  <si>
    <t>Flange avulso, em fofo, PN10, DN=100mm</t>
  </si>
  <si>
    <t>Codevasf_27</t>
  </si>
  <si>
    <t>Codevasf_28</t>
  </si>
  <si>
    <t>Quadro de comando para 2 bombas de recalques de 15 cv, Trifásicas, 380 volts, com duas chaves seletora de três posições, protetor de surto, supervisor trifásico, fusível ultra-rápido, chave de partida e parada suave, circuito de exastão e ventilação, circuito de aquecimento, disjuntores, fuzíveis diazed, voltímetro, amperímetro, horímetro, botoeiras tipo NF e NA, lâmpadas sinalizadoras, contactor tripolar, iluminação interna, bornes de conexão e conectores</t>
  </si>
  <si>
    <t>Quadro de comando para 2 bombas de recalques de 20 cv, Trifásicas, 380 volts, com duas chaves seletora de três posições, protetor de surto, supervisor trifásico, fusível ultra-rápido, chave de partida e parada suave, circuito de exastão e ventilação, circuito de aquecimento, disjuntores, fuzíveis diazed, voltímetro, amperímetro, horímetro, botoeiras tipo NF e NA, lâmpadas sinalizadoras, contactor tripolar, iluminação interna, bornes de conexão e conectores</t>
  </si>
  <si>
    <t>Escavação mecânica de vala não escorada em material de 1A cat. c/ retroescavadeira, até 1,50m, excl. esgotamento</t>
  </si>
  <si>
    <t>3061</t>
  </si>
  <si>
    <t>Limpeza mecanizada de terreno, inclusive retirada de árvore entre 0,05m e 0,15m de diâmetro</t>
  </si>
  <si>
    <t>Área de locação A+B
A= Casa de química (8x6m); B= Reservatório e EE's (19x20m)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</si>
</sst>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-;\-* #,##0.00_-;_-* &quot;-&quot;??_-;_-@_-"/>
    <numFmt numFmtId="165" formatCode="&quot;R$ &quot;#,##0.00"/>
    <numFmt numFmtId="166" formatCode="[&lt;=9999999]###\-####;\(###\)\ ###\-####"/>
  </numFmts>
  <fonts count="6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b/>
      <sz val="8"/>
      <name val="Arial Narrow"/>
      <family val="2"/>
    </font>
    <font>
      <sz val="8"/>
      <name val="Arial Narrow"/>
      <family val="2"/>
    </font>
    <font>
      <sz val="8"/>
      <color theme="1"/>
      <name val="Arial Narrow"/>
      <family val="2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8" tint="0.79998168889431442"/>
        <bgColor indexed="22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6">
    <xf numFmtId="0" fontId="0" fillId="0" borderId="0"/>
    <xf numFmtId="166" fontId="2" fillId="0" borderId="0" applyFill="0" applyBorder="0" applyAlignment="0" applyProtection="0"/>
    <xf numFmtId="0" fontId="2" fillId="0" borderId="0"/>
    <xf numFmtId="0" fontId="2" fillId="0" borderId="0"/>
    <xf numFmtId="165" fontId="2" fillId="0" borderId="0" applyFill="0" applyBorder="0" applyAlignment="0" applyProtection="0"/>
    <xf numFmtId="164" fontId="1" fillId="0" borderId="0" applyFont="0" applyFill="0" applyBorder="0" applyAlignment="0" applyProtection="0"/>
  </cellStyleXfs>
  <cellXfs count="170">
    <xf numFmtId="0" fontId="0" fillId="0" borderId="0" xfId="0"/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166" fontId="4" fillId="2" borderId="3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49" fontId="4" fillId="0" borderId="3" xfId="0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justify" vertical="center" wrapText="1"/>
    </xf>
    <xf numFmtId="0" fontId="4" fillId="0" borderId="10" xfId="0" applyFont="1" applyFill="1" applyBorder="1" applyAlignment="1">
      <alignment horizontal="justify" vertical="center" wrapText="1"/>
    </xf>
    <xf numFmtId="0" fontId="4" fillId="0" borderId="10" xfId="0" applyFont="1" applyBorder="1" applyAlignment="1">
      <alignment horizontal="center" vertical="center"/>
    </xf>
    <xf numFmtId="0" fontId="4" fillId="0" borderId="10" xfId="0" applyFont="1" applyBorder="1" applyAlignment="1">
      <alignment horizontal="justify" vertical="center"/>
    </xf>
    <xf numFmtId="0" fontId="4" fillId="0" borderId="17" xfId="0" applyFont="1" applyBorder="1" applyAlignment="1">
      <alignment horizontal="justify" vertical="center" wrapText="1"/>
    </xf>
    <xf numFmtId="0" fontId="4" fillId="0" borderId="0" xfId="0" applyFont="1" applyFill="1" applyAlignment="1">
      <alignment vertical="center"/>
    </xf>
    <xf numFmtId="166" fontId="4" fillId="0" borderId="3" xfId="0" applyNumberFormat="1" applyFont="1" applyFill="1" applyBorder="1" applyAlignment="1">
      <alignment horizontal="center" vertical="center" wrapText="1"/>
    </xf>
    <xf numFmtId="10" fontId="4" fillId="0" borderId="3" xfId="0" applyNumberFormat="1" applyFont="1" applyFill="1" applyBorder="1" applyAlignment="1">
      <alignment horizontal="justify" vertical="center" wrapText="1"/>
    </xf>
    <xf numFmtId="10" fontId="4" fillId="0" borderId="3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4" fontId="3" fillId="0" borderId="0" xfId="0" applyNumberFormat="1" applyFont="1" applyFill="1" applyBorder="1" applyAlignment="1">
      <alignment vertical="center"/>
    </xf>
    <xf numFmtId="4" fontId="3" fillId="0" borderId="0" xfId="0" applyNumberFormat="1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/>
    </xf>
    <xf numFmtId="14" fontId="3" fillId="0" borderId="26" xfId="0" quotePrefix="1" applyNumberFormat="1" applyFont="1" applyFill="1" applyBorder="1" applyAlignment="1">
      <alignment horizontal="center" vertical="center"/>
    </xf>
    <xf numFmtId="49" fontId="4" fillId="0" borderId="3" xfId="0" applyNumberFormat="1" applyFont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10" fontId="4" fillId="2" borderId="6" xfId="5" applyNumberFormat="1" applyFont="1" applyFill="1" applyBorder="1" applyAlignment="1">
      <alignment horizontal="justify" vertical="center" wrapText="1"/>
    </xf>
    <xf numFmtId="0" fontId="3" fillId="3" borderId="1" xfId="2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166" fontId="3" fillId="4" borderId="15" xfId="0" applyNumberFormat="1" applyFont="1" applyFill="1" applyBorder="1" applyAlignment="1">
      <alignment horizontal="center" vertical="center" wrapText="1"/>
    </xf>
    <xf numFmtId="10" fontId="3" fillId="4" borderId="15" xfId="0" applyNumberFormat="1" applyFont="1" applyFill="1" applyBorder="1" applyAlignment="1">
      <alignment horizontal="justify" vertical="center" wrapText="1"/>
    </xf>
    <xf numFmtId="10" fontId="3" fillId="4" borderId="15" xfId="0" applyNumberFormat="1" applyFont="1" applyFill="1" applyBorder="1" applyAlignment="1">
      <alignment horizontal="center" vertical="center" wrapText="1"/>
    </xf>
    <xf numFmtId="4" fontId="3" fillId="4" borderId="15" xfId="0" applyNumberFormat="1" applyFont="1" applyFill="1" applyBorder="1" applyAlignment="1">
      <alignment horizontal="right" vertical="center" wrapText="1"/>
    </xf>
    <xf numFmtId="10" fontId="3" fillId="4" borderId="16" xfId="5" applyNumberFormat="1" applyFont="1" applyFill="1" applyBorder="1" applyAlignment="1">
      <alignment horizontal="justify" vertical="center" wrapText="1"/>
    </xf>
    <xf numFmtId="10" fontId="4" fillId="0" borderId="10" xfId="0" applyNumberFormat="1" applyFont="1" applyFill="1" applyBorder="1" applyAlignment="1">
      <alignment horizontal="justify" vertical="center" wrapText="1"/>
    </xf>
    <xf numFmtId="10" fontId="4" fillId="0" borderId="10" xfId="0" applyNumberFormat="1" applyFont="1" applyFill="1" applyBorder="1" applyAlignment="1">
      <alignment horizontal="center" vertical="center" wrapText="1"/>
    </xf>
    <xf numFmtId="10" fontId="4" fillId="0" borderId="6" xfId="5" applyNumberFormat="1" applyFont="1" applyFill="1" applyBorder="1" applyAlignment="1">
      <alignment horizontal="justify" vertical="center" wrapText="1"/>
    </xf>
    <xf numFmtId="4" fontId="4" fillId="0" borderId="3" xfId="0" applyNumberFormat="1" applyFont="1" applyFill="1" applyBorder="1" applyAlignment="1">
      <alignment horizontal="center" vertical="center" wrapText="1"/>
    </xf>
    <xf numFmtId="4" fontId="4" fillId="0" borderId="3" xfId="0" applyNumberFormat="1" applyFont="1" applyFill="1" applyBorder="1" applyAlignment="1">
      <alignment horizontal="center" vertical="center"/>
    </xf>
    <xf numFmtId="4" fontId="4" fillId="0" borderId="3" xfId="5" applyNumberFormat="1" applyFont="1" applyFill="1" applyBorder="1" applyAlignment="1">
      <alignment horizontal="center" vertical="center" wrapText="1"/>
    </xf>
    <xf numFmtId="2" fontId="4" fillId="0" borderId="3" xfId="5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166" fontId="4" fillId="0" borderId="27" xfId="0" applyNumberFormat="1" applyFont="1" applyFill="1" applyBorder="1" applyAlignment="1">
      <alignment horizontal="center" vertical="center" wrapText="1"/>
    </xf>
    <xf numFmtId="49" fontId="4" fillId="0" borderId="27" xfId="0" applyNumberFormat="1" applyFont="1" applyFill="1" applyBorder="1" applyAlignment="1">
      <alignment horizontal="center" vertical="center" wrapText="1"/>
    </xf>
    <xf numFmtId="2" fontId="4" fillId="0" borderId="10" xfId="0" applyNumberFormat="1" applyFont="1" applyBorder="1" applyAlignment="1">
      <alignment horizontal="center" vertical="center"/>
    </xf>
    <xf numFmtId="2" fontId="4" fillId="2" borderId="3" xfId="0" applyNumberFormat="1" applyFont="1" applyFill="1" applyBorder="1" applyAlignment="1">
      <alignment horizontal="center" vertical="center" wrapText="1"/>
    </xf>
    <xf numFmtId="2" fontId="4" fillId="0" borderId="3" xfId="0" applyNumberFormat="1" applyFont="1" applyBorder="1" applyAlignment="1">
      <alignment horizontal="center" vertical="center"/>
    </xf>
    <xf numFmtId="2" fontId="4" fillId="0" borderId="3" xfId="0" applyNumberFormat="1" applyFont="1" applyFill="1" applyBorder="1" applyAlignment="1">
      <alignment horizontal="center" vertical="center" wrapText="1"/>
    </xf>
    <xf numFmtId="2" fontId="4" fillId="0" borderId="3" xfId="5" applyNumberFormat="1" applyFont="1" applyFill="1" applyBorder="1" applyAlignment="1">
      <alignment horizontal="center" vertical="center"/>
    </xf>
    <xf numFmtId="2" fontId="4" fillId="0" borderId="3" xfId="0" applyNumberFormat="1" applyFont="1" applyFill="1" applyBorder="1" applyAlignment="1">
      <alignment horizontal="center" vertical="center"/>
    </xf>
    <xf numFmtId="166" fontId="3" fillId="5" borderId="2" xfId="0" applyNumberFormat="1" applyFont="1" applyFill="1" applyBorder="1" applyAlignment="1">
      <alignment horizontal="center" vertical="center" wrapText="1"/>
    </xf>
    <xf numFmtId="166" fontId="3" fillId="5" borderId="3" xfId="0" applyNumberFormat="1" applyFont="1" applyFill="1" applyBorder="1" applyAlignment="1">
      <alignment horizontal="center" vertical="center" wrapText="1"/>
    </xf>
    <xf numFmtId="2" fontId="3" fillId="5" borderId="3" xfId="0" applyNumberFormat="1" applyFont="1" applyFill="1" applyBorder="1" applyAlignment="1">
      <alignment horizontal="center" vertical="center" wrapText="1"/>
    </xf>
    <xf numFmtId="10" fontId="3" fillId="5" borderId="6" xfId="5" applyNumberFormat="1" applyFont="1" applyFill="1" applyBorder="1" applyAlignment="1">
      <alignment horizontal="justify" vertical="center" wrapText="1"/>
    </xf>
    <xf numFmtId="2" fontId="3" fillId="5" borderId="3" xfId="5" applyNumberFormat="1" applyFont="1" applyFill="1" applyBorder="1" applyAlignment="1">
      <alignment horizontal="center" vertical="center"/>
    </xf>
    <xf numFmtId="49" fontId="3" fillId="5" borderId="3" xfId="0" applyNumberFormat="1" applyFont="1" applyFill="1" applyBorder="1" applyAlignment="1">
      <alignment horizontal="center" vertical="center" wrapText="1"/>
    </xf>
    <xf numFmtId="0" fontId="5" fillId="0" borderId="3" xfId="0" applyFont="1" applyBorder="1" applyAlignment="1">
      <alignment vertical="center" wrapText="1"/>
    </xf>
    <xf numFmtId="49" fontId="3" fillId="4" borderId="12" xfId="0" applyNumberFormat="1" applyFont="1" applyFill="1" applyBorder="1" applyAlignment="1">
      <alignment horizontal="center" vertical="center" wrapText="1"/>
    </xf>
    <xf numFmtId="2" fontId="4" fillId="4" borderId="13" xfId="0" applyNumberFormat="1" applyFont="1" applyFill="1" applyBorder="1" applyAlignment="1">
      <alignment horizontal="center" vertical="center" wrapText="1"/>
    </xf>
    <xf numFmtId="49" fontId="3" fillId="4" borderId="3" xfId="0" applyNumberFormat="1" applyFont="1" applyFill="1" applyBorder="1" applyAlignment="1">
      <alignment horizontal="center" vertical="center" wrapText="1"/>
    </xf>
    <xf numFmtId="0" fontId="3" fillId="4" borderId="3" xfId="0" applyFont="1" applyFill="1" applyBorder="1" applyAlignment="1">
      <alignment vertical="center" wrapText="1"/>
    </xf>
    <xf numFmtId="0" fontId="3" fillId="4" borderId="3" xfId="0" applyFont="1" applyFill="1" applyBorder="1" applyAlignment="1">
      <alignment horizontal="center" vertical="center" wrapText="1"/>
    </xf>
    <xf numFmtId="2" fontId="3" fillId="4" borderId="3" xfId="0" applyNumberFormat="1" applyFont="1" applyFill="1" applyBorder="1" applyAlignment="1">
      <alignment horizontal="center" vertical="center" wrapText="1"/>
    </xf>
    <xf numFmtId="2" fontId="4" fillId="4" borderId="3" xfId="0" applyNumberFormat="1" applyFont="1" applyFill="1" applyBorder="1" applyAlignment="1">
      <alignment horizontal="center" vertical="center" wrapText="1"/>
    </xf>
    <xf numFmtId="49" fontId="3" fillId="4" borderId="2" xfId="0" applyNumberFormat="1" applyFont="1" applyFill="1" applyBorder="1" applyAlignment="1">
      <alignment horizontal="center" vertical="center" wrapText="1"/>
    </xf>
    <xf numFmtId="10" fontId="4" fillId="4" borderId="6" xfId="5" applyNumberFormat="1" applyFont="1" applyFill="1" applyBorder="1" applyAlignment="1">
      <alignment horizontal="justify" vertical="center" wrapText="1"/>
    </xf>
    <xf numFmtId="0" fontId="4" fillId="4" borderId="13" xfId="0" applyFont="1" applyFill="1" applyBorder="1" applyAlignment="1">
      <alignment horizontal="center" vertical="center"/>
    </xf>
    <xf numFmtId="0" fontId="3" fillId="4" borderId="13" xfId="0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/>
    </xf>
    <xf numFmtId="0" fontId="3" fillId="4" borderId="3" xfId="0" applyFont="1" applyFill="1" applyBorder="1" applyAlignment="1">
      <alignment horizontal="justify" vertical="center" wrapText="1"/>
    </xf>
    <xf numFmtId="0" fontId="4" fillId="5" borderId="3" xfId="0" applyFont="1" applyFill="1" applyBorder="1" applyAlignment="1">
      <alignment horizontal="center" vertical="center"/>
    </xf>
    <xf numFmtId="0" fontId="3" fillId="5" borderId="3" xfId="0" applyFont="1" applyFill="1" applyBorder="1" applyAlignment="1">
      <alignment horizontal="justify" vertical="center" wrapText="1"/>
    </xf>
    <xf numFmtId="0" fontId="3" fillId="5" borderId="3" xfId="0" applyFont="1" applyFill="1" applyBorder="1" applyAlignment="1">
      <alignment horizontal="center" vertical="center" wrapText="1"/>
    </xf>
    <xf numFmtId="2" fontId="4" fillId="5" borderId="3" xfId="0" applyNumberFormat="1" applyFont="1" applyFill="1" applyBorder="1" applyAlignment="1">
      <alignment horizontal="center" vertical="center" wrapText="1"/>
    </xf>
    <xf numFmtId="10" fontId="3" fillId="5" borderId="3" xfId="0" applyNumberFormat="1" applyFont="1" applyFill="1" applyBorder="1" applyAlignment="1">
      <alignment horizontal="justify" vertical="center" wrapText="1"/>
    </xf>
    <xf numFmtId="10" fontId="3" fillId="5" borderId="3" xfId="0" applyNumberFormat="1" applyFont="1" applyFill="1" applyBorder="1" applyAlignment="1">
      <alignment horizontal="center" vertical="center" wrapText="1"/>
    </xf>
    <xf numFmtId="2" fontId="3" fillId="5" borderId="3" xfId="5" applyNumberFormat="1" applyFont="1" applyFill="1" applyBorder="1" applyAlignment="1">
      <alignment horizontal="center" vertical="center" wrapText="1"/>
    </xf>
    <xf numFmtId="0" fontId="3" fillId="5" borderId="3" xfId="0" applyFont="1" applyFill="1" applyBorder="1" applyAlignment="1">
      <alignment vertical="center" wrapText="1"/>
    </xf>
    <xf numFmtId="10" fontId="4" fillId="5" borderId="6" xfId="5" applyNumberFormat="1" applyFont="1" applyFill="1" applyBorder="1" applyAlignment="1">
      <alignment horizontal="justify" vertical="center" wrapText="1"/>
    </xf>
    <xf numFmtId="0" fontId="4" fillId="0" borderId="27" xfId="0" applyFont="1" applyBorder="1" applyAlignment="1">
      <alignment horizontal="center" vertical="center"/>
    </xf>
    <xf numFmtId="49" fontId="4" fillId="0" borderId="3" xfId="0" applyNumberFormat="1" applyFont="1" applyBorder="1" applyAlignment="1">
      <alignment horizontal="center" vertical="center"/>
    </xf>
    <xf numFmtId="49" fontId="4" fillId="4" borderId="3" xfId="0" applyNumberFormat="1" applyFont="1" applyFill="1" applyBorder="1" applyAlignment="1">
      <alignment horizontal="center" vertical="center"/>
    </xf>
    <xf numFmtId="49" fontId="4" fillId="6" borderId="3" xfId="0" applyNumberFormat="1" applyFont="1" applyFill="1" applyBorder="1" applyAlignment="1">
      <alignment horizontal="center" vertical="center"/>
    </xf>
    <xf numFmtId="0" fontId="4" fillId="6" borderId="3" xfId="0" applyFont="1" applyFill="1" applyBorder="1" applyAlignment="1">
      <alignment horizontal="center" vertical="center"/>
    </xf>
    <xf numFmtId="2" fontId="4" fillId="6" borderId="3" xfId="0" applyNumberFormat="1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left" vertical="center" wrapText="1"/>
    </xf>
    <xf numFmtId="0" fontId="3" fillId="6" borderId="2" xfId="0" applyFont="1" applyFill="1" applyBorder="1" applyAlignment="1">
      <alignment horizontal="center" vertical="center"/>
    </xf>
    <xf numFmtId="49" fontId="3" fillId="6" borderId="3" xfId="0" applyNumberFormat="1" applyFont="1" applyFill="1" applyBorder="1" applyAlignment="1">
      <alignment horizontal="center" vertical="center"/>
    </xf>
    <xf numFmtId="0" fontId="3" fillId="6" borderId="3" xfId="0" applyFont="1" applyFill="1" applyBorder="1" applyAlignment="1">
      <alignment vertical="center" wrapText="1"/>
    </xf>
    <xf numFmtId="0" fontId="3" fillId="6" borderId="3" xfId="0" applyFont="1" applyFill="1" applyBorder="1" applyAlignment="1">
      <alignment horizontal="center" vertical="center" wrapText="1"/>
    </xf>
    <xf numFmtId="0" fontId="3" fillId="6" borderId="3" xfId="0" applyFont="1" applyFill="1" applyBorder="1" applyAlignment="1">
      <alignment horizontal="center" vertical="center"/>
    </xf>
    <xf numFmtId="49" fontId="3" fillId="6" borderId="27" xfId="0" applyNumberFormat="1" applyFont="1" applyFill="1" applyBorder="1" applyAlignment="1">
      <alignment horizontal="center" vertical="center" wrapText="1"/>
    </xf>
    <xf numFmtId="4" fontId="3" fillId="6" borderId="3" xfId="0" applyNumberFormat="1" applyFont="1" applyFill="1" applyBorder="1" applyAlignment="1">
      <alignment horizontal="center" vertical="center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justify" vertical="center"/>
    </xf>
    <xf numFmtId="2" fontId="4" fillId="0" borderId="10" xfId="0" applyNumberFormat="1" applyFont="1" applyFill="1" applyBorder="1" applyAlignment="1">
      <alignment horizontal="center" vertical="center" wrapText="1"/>
    </xf>
    <xf numFmtId="10" fontId="4" fillId="0" borderId="17" xfId="5" applyNumberFormat="1" applyFont="1" applyFill="1" applyBorder="1" applyAlignment="1">
      <alignment horizontal="justify" vertical="center" wrapText="1"/>
    </xf>
    <xf numFmtId="49" fontId="4" fillId="0" borderId="28" xfId="0" applyNumberFormat="1" applyFont="1" applyFill="1" applyBorder="1" applyAlignment="1">
      <alignment horizontal="center" vertical="center" wrapText="1"/>
    </xf>
    <xf numFmtId="10" fontId="3" fillId="5" borderId="10" xfId="0" applyNumberFormat="1" applyFont="1" applyFill="1" applyBorder="1" applyAlignment="1">
      <alignment horizontal="justify" vertical="center" wrapText="1"/>
    </xf>
    <xf numFmtId="10" fontId="3" fillId="5" borderId="10" xfId="0" applyNumberFormat="1" applyFont="1" applyFill="1" applyBorder="1" applyAlignment="1">
      <alignment horizontal="center" vertical="center" wrapText="1"/>
    </xf>
    <xf numFmtId="2" fontId="3" fillId="5" borderId="10" xfId="0" applyNumberFormat="1" applyFont="1" applyFill="1" applyBorder="1" applyAlignment="1">
      <alignment horizontal="center" vertical="center" wrapText="1"/>
    </xf>
    <xf numFmtId="14" fontId="3" fillId="0" borderId="0" xfId="0" applyNumberFormat="1" applyFont="1" applyFill="1" applyBorder="1" applyAlignment="1">
      <alignment horizontal="left" vertical="center"/>
    </xf>
    <xf numFmtId="14" fontId="4" fillId="0" borderId="0" xfId="0" applyNumberFormat="1" applyFont="1" applyFill="1" applyBorder="1" applyAlignment="1">
      <alignment vertical="center"/>
    </xf>
    <xf numFmtId="2" fontId="3" fillId="4" borderId="14" xfId="0" applyNumberFormat="1" applyFont="1" applyFill="1" applyBorder="1" applyAlignment="1">
      <alignment horizontal="center" vertical="center" wrapText="1"/>
    </xf>
    <xf numFmtId="2" fontId="4" fillId="0" borderId="9" xfId="0" applyNumberFormat="1" applyFont="1" applyBorder="1" applyAlignment="1">
      <alignment horizontal="center" vertical="center"/>
    </xf>
    <xf numFmtId="49" fontId="4" fillId="2" borderId="3" xfId="0" applyNumberFormat="1" applyFont="1" applyFill="1" applyBorder="1" applyAlignment="1">
      <alignment horizontal="center" vertical="center" wrapText="1"/>
    </xf>
    <xf numFmtId="2" fontId="3" fillId="4" borderId="2" xfId="0" applyNumberFormat="1" applyFont="1" applyFill="1" applyBorder="1" applyAlignment="1">
      <alignment horizontal="center" vertical="center" wrapText="1"/>
    </xf>
    <xf numFmtId="2" fontId="3" fillId="5" borderId="2" xfId="0" applyNumberFormat="1" applyFont="1" applyFill="1" applyBorder="1" applyAlignment="1">
      <alignment horizontal="center" vertical="center" wrapText="1"/>
    </xf>
    <xf numFmtId="2" fontId="4" fillId="0" borderId="2" xfId="0" applyNumberFormat="1" applyFont="1" applyFill="1" applyBorder="1" applyAlignment="1">
      <alignment horizontal="center" vertical="center" wrapText="1"/>
    </xf>
    <xf numFmtId="2" fontId="4" fillId="0" borderId="9" xfId="0" applyNumberFormat="1" applyFont="1" applyFill="1" applyBorder="1" applyAlignment="1">
      <alignment horizontal="center" vertical="center" wrapText="1"/>
    </xf>
    <xf numFmtId="0" fontId="3" fillId="5" borderId="10" xfId="0" applyFont="1" applyFill="1" applyBorder="1" applyAlignment="1">
      <alignment horizontal="justify" vertical="center" wrapText="1"/>
    </xf>
    <xf numFmtId="2" fontId="3" fillId="5" borderId="10" xfId="5" applyNumberFormat="1" applyFont="1" applyFill="1" applyBorder="1" applyAlignment="1">
      <alignment horizontal="center" vertical="center" wrapText="1"/>
    </xf>
    <xf numFmtId="2" fontId="4" fillId="0" borderId="10" xfId="5" applyNumberFormat="1" applyFont="1" applyFill="1" applyBorder="1" applyAlignment="1">
      <alignment horizontal="center" vertical="center" wrapText="1"/>
    </xf>
    <xf numFmtId="0" fontId="4" fillId="0" borderId="28" xfId="0" applyFont="1" applyFill="1" applyBorder="1" applyAlignment="1">
      <alignment horizontal="center" vertical="center" wrapText="1"/>
    </xf>
    <xf numFmtId="2" fontId="4" fillId="0" borderId="10" xfId="0" applyNumberFormat="1" applyFont="1" applyFill="1" applyBorder="1" applyAlignment="1">
      <alignment horizontal="center" vertical="center"/>
    </xf>
    <xf numFmtId="2" fontId="4" fillId="0" borderId="10" xfId="5" applyNumberFormat="1" applyFont="1" applyFill="1" applyBorder="1" applyAlignment="1">
      <alignment horizontal="center" vertical="center"/>
    </xf>
    <xf numFmtId="49" fontId="4" fillId="0" borderId="29" xfId="0" applyNumberFormat="1" applyFont="1" applyFill="1" applyBorder="1" applyAlignment="1">
      <alignment horizontal="center" vertical="center" wrapText="1"/>
    </xf>
    <xf numFmtId="2" fontId="3" fillId="5" borderId="2" xfId="2" applyNumberFormat="1" applyFont="1" applyFill="1" applyBorder="1" applyAlignment="1">
      <alignment horizontal="center" vertical="center" wrapText="1"/>
    </xf>
    <xf numFmtId="2" fontId="3" fillId="5" borderId="2" xfId="0" applyNumberFormat="1" applyFont="1" applyFill="1" applyBorder="1" applyAlignment="1">
      <alignment horizontal="center" vertical="center"/>
    </xf>
    <xf numFmtId="2" fontId="3" fillId="5" borderId="10" xfId="0" applyNumberFormat="1" applyFont="1" applyFill="1" applyBorder="1" applyAlignment="1">
      <alignment horizontal="center" vertical="center"/>
    </xf>
    <xf numFmtId="0" fontId="5" fillId="0" borderId="10" xfId="0" applyFont="1" applyBorder="1" applyAlignment="1">
      <alignment vertical="center" wrapText="1"/>
    </xf>
    <xf numFmtId="49" fontId="4" fillId="0" borderId="27" xfId="0" applyNumberFormat="1" applyFont="1" applyBorder="1" applyAlignment="1">
      <alignment horizontal="center" vertical="center"/>
    </xf>
    <xf numFmtId="49" fontId="4" fillId="0" borderId="3" xfId="0" applyNumberFormat="1" applyFont="1" applyBorder="1" applyAlignment="1">
      <alignment horizontal="left" vertical="center" wrapText="1"/>
    </xf>
    <xf numFmtId="49" fontId="3" fillId="4" borderId="13" xfId="0" applyNumberFormat="1" applyFont="1" applyFill="1" applyBorder="1" applyAlignment="1">
      <alignment horizontal="justify" vertical="center" wrapText="1"/>
    </xf>
    <xf numFmtId="49" fontId="3" fillId="5" borderId="3" xfId="0" applyNumberFormat="1" applyFont="1" applyFill="1" applyBorder="1" applyAlignment="1">
      <alignment horizontal="left" vertical="center" wrapText="1"/>
    </xf>
    <xf numFmtId="49" fontId="4" fillId="0" borderId="3" xfId="0" applyNumberFormat="1" applyFont="1" applyFill="1" applyBorder="1" applyAlignment="1">
      <alignment horizontal="left" vertical="center" wrapText="1"/>
    </xf>
    <xf numFmtId="49" fontId="4" fillId="0" borderId="3" xfId="0" applyNumberFormat="1" applyFont="1" applyBorder="1" applyAlignment="1">
      <alignment horizontal="justify" vertical="center" wrapText="1"/>
    </xf>
    <xf numFmtId="49" fontId="3" fillId="4" borderId="3" xfId="0" applyNumberFormat="1" applyFont="1" applyFill="1" applyBorder="1" applyAlignment="1">
      <alignment horizontal="justify" vertical="center" wrapText="1"/>
    </xf>
    <xf numFmtId="49" fontId="4" fillId="0" borderId="3" xfId="0" applyNumberFormat="1" applyFont="1" applyFill="1" applyBorder="1" applyAlignment="1">
      <alignment vertical="center" wrapText="1"/>
    </xf>
    <xf numFmtId="49" fontId="3" fillId="4" borderId="3" xfId="0" applyNumberFormat="1" applyFont="1" applyFill="1" applyBorder="1" applyAlignment="1">
      <alignment vertical="center" wrapText="1"/>
    </xf>
    <xf numFmtId="49" fontId="4" fillId="0" borderId="3" xfId="0" applyNumberFormat="1" applyFont="1" applyBorder="1" applyAlignment="1">
      <alignment vertical="center" wrapText="1"/>
    </xf>
    <xf numFmtId="0" fontId="3" fillId="0" borderId="18" xfId="0" applyFont="1" applyFill="1" applyBorder="1" applyAlignment="1">
      <alignment horizontal="left" vertical="center"/>
    </xf>
    <xf numFmtId="0" fontId="3" fillId="0" borderId="25" xfId="0" applyFont="1" applyFill="1" applyBorder="1" applyAlignment="1">
      <alignment horizontal="left" vertical="center"/>
    </xf>
    <xf numFmtId="4" fontId="3" fillId="0" borderId="25" xfId="0" applyNumberFormat="1" applyFont="1" applyFill="1" applyBorder="1" applyAlignment="1">
      <alignment horizontal="center" vertical="center"/>
    </xf>
    <xf numFmtId="2" fontId="4" fillId="4" borderId="11" xfId="0" applyNumberFormat="1" applyFont="1" applyFill="1" applyBorder="1" applyAlignment="1">
      <alignment horizontal="center" vertical="center" wrapText="1"/>
    </xf>
    <xf numFmtId="2" fontId="3" fillId="5" borderId="6" xfId="0" applyNumberFormat="1" applyFont="1" applyFill="1" applyBorder="1" applyAlignment="1">
      <alignment horizontal="center" vertical="center" wrapText="1"/>
    </xf>
    <xf numFmtId="1" fontId="4" fillId="0" borderId="6" xfId="0" applyNumberFormat="1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2" fontId="4" fillId="4" borderId="6" xfId="0" applyNumberFormat="1" applyFont="1" applyFill="1" applyBorder="1" applyAlignment="1">
      <alignment horizontal="center" vertical="center" wrapText="1"/>
    </xf>
    <xf numFmtId="3" fontId="4" fillId="2" borderId="6" xfId="0" applyNumberFormat="1" applyFont="1" applyFill="1" applyBorder="1" applyAlignment="1">
      <alignment horizontal="center" vertical="center" wrapText="1"/>
    </xf>
    <xf numFmtId="3" fontId="4" fillId="0" borderId="6" xfId="0" applyNumberFormat="1" applyFont="1" applyBorder="1" applyAlignment="1">
      <alignment horizontal="center" vertical="center"/>
    </xf>
    <xf numFmtId="2" fontId="4" fillId="6" borderId="6" xfId="0" applyNumberFormat="1" applyFont="1" applyFill="1" applyBorder="1" applyAlignment="1">
      <alignment horizontal="center" vertical="center"/>
    </xf>
    <xf numFmtId="0" fontId="3" fillId="6" borderId="6" xfId="0" applyFont="1" applyFill="1" applyBorder="1" applyAlignment="1">
      <alignment horizontal="center" vertical="center"/>
    </xf>
    <xf numFmtId="3" fontId="3" fillId="6" borderId="6" xfId="0" applyNumberFormat="1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49" fontId="4" fillId="0" borderId="34" xfId="0" applyNumberFormat="1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0" fontId="4" fillId="0" borderId="35" xfId="0" applyFont="1" applyBorder="1" applyAlignment="1">
      <alignment horizontal="center" vertical="center"/>
    </xf>
    <xf numFmtId="0" fontId="3" fillId="4" borderId="13" xfId="0" applyFont="1" applyFill="1" applyBorder="1" applyAlignment="1">
      <alignment horizontal="justify" vertical="center"/>
    </xf>
    <xf numFmtId="0" fontId="4" fillId="0" borderId="3" xfId="0" applyFont="1" applyFill="1" applyBorder="1" applyAlignment="1">
      <alignment horizontal="justify" vertical="center"/>
    </xf>
    <xf numFmtId="0" fontId="4" fillId="0" borderId="5" xfId="0" applyFont="1" applyFill="1" applyBorder="1" applyAlignment="1">
      <alignment horizontal="justify" vertical="center"/>
    </xf>
    <xf numFmtId="0" fontId="3" fillId="0" borderId="20" xfId="0" applyFont="1" applyFill="1" applyBorder="1" applyAlignment="1">
      <alignment horizontal="left" vertical="center" indent="30"/>
    </xf>
    <xf numFmtId="0" fontId="3" fillId="0" borderId="19" xfId="0" applyFont="1" applyFill="1" applyBorder="1" applyAlignment="1">
      <alignment horizontal="left" vertical="center" indent="30"/>
    </xf>
    <xf numFmtId="0" fontId="3" fillId="0" borderId="23" xfId="0" applyFont="1" applyFill="1" applyBorder="1" applyAlignment="1">
      <alignment horizontal="left" vertical="center" indent="30"/>
    </xf>
    <xf numFmtId="0" fontId="4" fillId="0" borderId="18" xfId="0" applyFont="1" applyFill="1" applyBorder="1" applyAlignment="1">
      <alignment horizontal="left" vertical="center" indent="30"/>
    </xf>
    <xf numFmtId="0" fontId="4" fillId="0" borderId="0" xfId="0" applyFont="1" applyFill="1" applyBorder="1" applyAlignment="1">
      <alignment horizontal="left" vertical="center" indent="30"/>
    </xf>
    <xf numFmtId="0" fontId="4" fillId="0" borderId="25" xfId="0" applyFont="1" applyFill="1" applyBorder="1" applyAlignment="1">
      <alignment horizontal="left" vertical="center" indent="30"/>
    </xf>
    <xf numFmtId="0" fontId="4" fillId="0" borderId="22" xfId="0" applyFont="1" applyFill="1" applyBorder="1" applyAlignment="1">
      <alignment horizontal="left" vertical="center" indent="30"/>
    </xf>
    <xf numFmtId="0" fontId="4" fillId="0" borderId="21" xfId="0" applyFont="1" applyFill="1" applyBorder="1" applyAlignment="1">
      <alignment horizontal="left" vertical="center" indent="30"/>
    </xf>
    <xf numFmtId="0" fontId="4" fillId="0" borderId="24" xfId="0" applyFont="1" applyFill="1" applyBorder="1" applyAlignment="1">
      <alignment horizontal="left" vertical="center" indent="30"/>
    </xf>
    <xf numFmtId="0" fontId="3" fillId="0" borderId="7" xfId="0" applyFont="1" applyFill="1" applyBorder="1" applyAlignment="1">
      <alignment horizontal="left" vertical="center"/>
    </xf>
    <xf numFmtId="0" fontId="3" fillId="0" borderId="8" xfId="0" applyFont="1" applyFill="1" applyBorder="1" applyAlignment="1">
      <alignment horizontal="left" vertical="center"/>
    </xf>
    <xf numFmtId="0" fontId="3" fillId="0" borderId="4" xfId="0" applyFont="1" applyFill="1" applyBorder="1" applyAlignment="1">
      <alignment horizontal="left" vertical="center"/>
    </xf>
    <xf numFmtId="0" fontId="3" fillId="0" borderId="5" xfId="0" applyFont="1" applyFill="1" applyBorder="1" applyAlignment="1">
      <alignment horizontal="left" vertical="center"/>
    </xf>
    <xf numFmtId="0" fontId="3" fillId="0" borderId="30" xfId="0" applyFont="1" applyFill="1" applyBorder="1" applyAlignment="1">
      <alignment horizontal="left" vertical="center"/>
    </xf>
    <xf numFmtId="0" fontId="3" fillId="0" borderId="31" xfId="0" applyFont="1" applyFill="1" applyBorder="1" applyAlignment="1">
      <alignment horizontal="left" vertical="center"/>
    </xf>
    <xf numFmtId="0" fontId="3" fillId="0" borderId="32" xfId="0" applyFont="1" applyFill="1" applyBorder="1" applyAlignment="1">
      <alignment horizontal="left" vertical="center"/>
    </xf>
    <xf numFmtId="0" fontId="3" fillId="0" borderId="33" xfId="0" applyFont="1" applyFill="1" applyBorder="1" applyAlignment="1">
      <alignment horizontal="left" vertical="center"/>
    </xf>
  </cellXfs>
  <cellStyles count="6">
    <cellStyle name="Moeda 2" xfId="1"/>
    <cellStyle name="Normal" xfId="0" builtinId="0"/>
    <cellStyle name="Normal 2" xfId="2"/>
    <cellStyle name="Normal 5" xfId="3"/>
    <cellStyle name="Separador de milhares 2" xfId="4"/>
    <cellStyle name="Vírgula" xfId="5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190500</xdr:colOff>
      <xdr:row>0</xdr:row>
      <xdr:rowOff>38100</xdr:rowOff>
    </xdr:from>
    <xdr:to>
      <xdr:col>2</xdr:col>
      <xdr:colOff>960293</xdr:colOff>
      <xdr:row>2</xdr:row>
      <xdr:rowOff>129886</xdr:rowOff>
    </xdr:to>
    <xdr:pic>
      <xdr:nvPicPr>
        <xdr:cNvPr id="2" name="Imagem 1" descr="logocodevasf02media.jp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0" y="38100"/>
          <a:ext cx="1808018" cy="4156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190500</xdr:colOff>
      <xdr:row>0</xdr:row>
      <xdr:rowOff>38100</xdr:rowOff>
    </xdr:from>
    <xdr:to>
      <xdr:col>2</xdr:col>
      <xdr:colOff>960293</xdr:colOff>
      <xdr:row>2</xdr:row>
      <xdr:rowOff>129886</xdr:rowOff>
    </xdr:to>
    <xdr:pic>
      <xdr:nvPicPr>
        <xdr:cNvPr id="2" name="Imagem 1" descr="logocodevasf02media.jp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0" y="38100"/>
          <a:ext cx="1808018" cy="4156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190500</xdr:colOff>
      <xdr:row>0</xdr:row>
      <xdr:rowOff>38100</xdr:rowOff>
    </xdr:from>
    <xdr:to>
      <xdr:col>2</xdr:col>
      <xdr:colOff>960293</xdr:colOff>
      <xdr:row>2</xdr:row>
      <xdr:rowOff>129886</xdr:rowOff>
    </xdr:to>
    <xdr:pic>
      <xdr:nvPicPr>
        <xdr:cNvPr id="2" name="Imagem 1" descr="logocodevasf02media.jpg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0" y="38100"/>
          <a:ext cx="1808018" cy="4156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J238"/>
  <sheetViews>
    <sheetView tabSelected="1" view="pageBreakPreview" zoomScale="110" zoomScaleNormal="100" zoomScaleSheetLayoutView="110" workbookViewId="0">
      <selection activeCell="I70" sqref="I70"/>
    </sheetView>
  </sheetViews>
  <sheetFormatPr defaultRowHeight="12.75" x14ac:dyDescent="0.25"/>
  <cols>
    <col min="1" max="1" width="5.7109375" style="2" customWidth="1"/>
    <col min="2" max="2" width="9.85546875" style="1" customWidth="1"/>
    <col min="3" max="3" width="30.7109375" style="2" customWidth="1"/>
    <col min="4" max="4" width="4.85546875" style="1" customWidth="1"/>
    <col min="5" max="9" width="8.7109375" style="1" customWidth="1"/>
    <col min="10" max="10" width="39.7109375" style="1" customWidth="1"/>
    <col min="11" max="16384" width="9.140625" style="1"/>
  </cols>
  <sheetData>
    <row r="1" spans="1:10" s="12" customFormat="1" x14ac:dyDescent="0.25">
      <c r="A1" s="153" t="s">
        <v>11</v>
      </c>
      <c r="B1" s="154"/>
      <c r="C1" s="154"/>
      <c r="D1" s="154"/>
      <c r="E1" s="154"/>
      <c r="F1" s="154"/>
      <c r="G1" s="154"/>
      <c r="H1" s="154"/>
      <c r="I1" s="154"/>
      <c r="J1" s="155"/>
    </row>
    <row r="2" spans="1:10" s="12" customFormat="1" x14ac:dyDescent="0.25">
      <c r="A2" s="156" t="s">
        <v>12</v>
      </c>
      <c r="B2" s="157"/>
      <c r="C2" s="157"/>
      <c r="D2" s="157"/>
      <c r="E2" s="157"/>
      <c r="F2" s="157"/>
      <c r="G2" s="157"/>
      <c r="H2" s="157"/>
      <c r="I2" s="157"/>
      <c r="J2" s="158"/>
    </row>
    <row r="3" spans="1:10" s="12" customFormat="1" x14ac:dyDescent="0.25">
      <c r="A3" s="159" t="s">
        <v>13</v>
      </c>
      <c r="B3" s="160"/>
      <c r="C3" s="160"/>
      <c r="D3" s="160"/>
      <c r="E3" s="160"/>
      <c r="F3" s="160"/>
      <c r="G3" s="160"/>
      <c r="H3" s="160"/>
      <c r="I3" s="160"/>
      <c r="J3" s="161"/>
    </row>
    <row r="4" spans="1:10" s="17" customFormat="1" x14ac:dyDescent="0.25">
      <c r="A4" s="16"/>
      <c r="B4" s="16"/>
      <c r="C4" s="16"/>
      <c r="D4" s="16"/>
      <c r="E4" s="16"/>
      <c r="F4" s="16"/>
      <c r="G4" s="103"/>
      <c r="H4" s="104"/>
    </row>
    <row r="5" spans="1:10" s="12" customFormat="1" x14ac:dyDescent="0.25">
      <c r="A5" s="162" t="s">
        <v>957</v>
      </c>
      <c r="B5" s="163"/>
      <c r="C5" s="163"/>
      <c r="D5" s="163"/>
      <c r="E5" s="163"/>
      <c r="F5" s="163"/>
      <c r="G5" s="163"/>
      <c r="H5" s="163"/>
      <c r="I5" s="163"/>
      <c r="J5" s="21" t="s">
        <v>14</v>
      </c>
    </row>
    <row r="6" spans="1:10" s="12" customFormat="1" x14ac:dyDescent="0.25">
      <c r="A6" s="164" t="s">
        <v>29</v>
      </c>
      <c r="B6" s="165"/>
      <c r="C6" s="165"/>
      <c r="D6" s="165"/>
      <c r="E6" s="165"/>
      <c r="F6" s="165"/>
      <c r="G6" s="165"/>
      <c r="H6" s="165"/>
      <c r="I6" s="165"/>
      <c r="J6" s="22" t="s">
        <v>628</v>
      </c>
    </row>
    <row r="7" spans="1:10" s="17" customFormat="1" x14ac:dyDescent="0.25">
      <c r="A7" s="16"/>
      <c r="B7" s="16"/>
      <c r="C7" s="16"/>
      <c r="D7" s="18"/>
      <c r="E7" s="19"/>
      <c r="F7" s="20"/>
      <c r="G7" s="16"/>
    </row>
    <row r="8" spans="1:10" x14ac:dyDescent="0.25">
      <c r="A8" s="26" t="s">
        <v>0</v>
      </c>
      <c r="B8" s="26" t="s">
        <v>15</v>
      </c>
      <c r="C8" s="26" t="s">
        <v>1</v>
      </c>
      <c r="D8" s="26" t="s">
        <v>16</v>
      </c>
      <c r="E8" s="26" t="s">
        <v>26</v>
      </c>
      <c r="F8" s="27" t="s">
        <v>2</v>
      </c>
      <c r="G8" s="27" t="s">
        <v>3</v>
      </c>
      <c r="H8" s="27" t="s">
        <v>4</v>
      </c>
      <c r="I8" s="27" t="s">
        <v>5</v>
      </c>
      <c r="J8" s="27" t="s">
        <v>17</v>
      </c>
    </row>
    <row r="9" spans="1:10" x14ac:dyDescent="0.25">
      <c r="A9" s="105" t="s">
        <v>18</v>
      </c>
      <c r="B9" s="28"/>
      <c r="C9" s="29" t="s">
        <v>28</v>
      </c>
      <c r="D9" s="30"/>
      <c r="E9" s="31"/>
      <c r="F9" s="31"/>
      <c r="G9" s="31"/>
      <c r="H9" s="31"/>
      <c r="I9" s="31" t="str">
        <f>IF(D9&lt;&gt;"",ROUND(PRODUCT(E9:H9),2),"")</f>
        <v/>
      </c>
      <c r="J9" s="32"/>
    </row>
    <row r="10" spans="1:10" ht="25.5" x14ac:dyDescent="0.25">
      <c r="A10" s="106" t="s">
        <v>7</v>
      </c>
      <c r="B10" s="5" t="s">
        <v>294</v>
      </c>
      <c r="C10" s="10" t="s">
        <v>310</v>
      </c>
      <c r="D10" s="9" t="s">
        <v>289</v>
      </c>
      <c r="E10" s="46">
        <v>1</v>
      </c>
      <c r="F10" s="46"/>
      <c r="G10" s="46"/>
      <c r="H10" s="46"/>
      <c r="I10" s="46">
        <f>E10</f>
        <v>1</v>
      </c>
      <c r="J10" s="11" t="s">
        <v>27</v>
      </c>
    </row>
    <row r="11" spans="1:10" ht="25.5" x14ac:dyDescent="0.25">
      <c r="A11" s="106" t="s">
        <v>8</v>
      </c>
      <c r="B11" s="3" t="s">
        <v>295</v>
      </c>
      <c r="C11" s="10" t="s">
        <v>311</v>
      </c>
      <c r="D11" s="9" t="s">
        <v>289</v>
      </c>
      <c r="E11" s="47">
        <v>1</v>
      </c>
      <c r="F11" s="47"/>
      <c r="G11" s="47"/>
      <c r="H11" s="47"/>
      <c r="I11" s="47">
        <f>E11</f>
        <v>1</v>
      </c>
      <c r="J11" s="25" t="s">
        <v>23</v>
      </c>
    </row>
    <row r="12" spans="1:10" ht="51" x14ac:dyDescent="0.25">
      <c r="A12" s="106" t="s">
        <v>20</v>
      </c>
      <c r="B12" s="3" t="s">
        <v>297</v>
      </c>
      <c r="C12" s="10" t="s">
        <v>290</v>
      </c>
      <c r="D12" s="9" t="s">
        <v>6</v>
      </c>
      <c r="E12" s="47">
        <v>1</v>
      </c>
      <c r="F12" s="47">
        <f>2.5*3</f>
        <v>7.5</v>
      </c>
      <c r="G12" s="47">
        <f>3*10</f>
        <v>30</v>
      </c>
      <c r="H12" s="47"/>
      <c r="I12" s="47">
        <f>F12+G12</f>
        <v>37.5</v>
      </c>
      <c r="J12" s="25" t="s">
        <v>629</v>
      </c>
    </row>
    <row r="13" spans="1:10" ht="38.25" x14ac:dyDescent="0.25">
      <c r="A13" s="106" t="s">
        <v>21</v>
      </c>
      <c r="B13" s="3" t="s">
        <v>298</v>
      </c>
      <c r="C13" s="10" t="s">
        <v>291</v>
      </c>
      <c r="D13" s="9" t="s">
        <v>6</v>
      </c>
      <c r="E13" s="47"/>
      <c r="F13" s="47">
        <v>4</v>
      </c>
      <c r="G13" s="47">
        <v>8</v>
      </c>
      <c r="H13" s="47"/>
      <c r="I13" s="47">
        <f>F13*G13</f>
        <v>32</v>
      </c>
      <c r="J13" s="25" t="s">
        <v>293</v>
      </c>
    </row>
    <row r="14" spans="1:10" ht="51" x14ac:dyDescent="0.25">
      <c r="A14" s="106" t="s">
        <v>22</v>
      </c>
      <c r="B14" s="3" t="s">
        <v>299</v>
      </c>
      <c r="C14" s="10" t="s">
        <v>330</v>
      </c>
      <c r="D14" s="9" t="s">
        <v>6</v>
      </c>
      <c r="E14" s="47"/>
      <c r="F14" s="47">
        <v>2</v>
      </c>
      <c r="G14" s="47">
        <v>2</v>
      </c>
      <c r="H14" s="47">
        <f>2*10</f>
        <v>20</v>
      </c>
      <c r="I14" s="47">
        <f>SUM(F14:H14)</f>
        <v>24</v>
      </c>
      <c r="J14" s="25" t="s">
        <v>331</v>
      </c>
    </row>
    <row r="15" spans="1:10" ht="38.25" x14ac:dyDescent="0.25">
      <c r="A15" s="106" t="s">
        <v>24</v>
      </c>
      <c r="B15" s="3" t="s">
        <v>300</v>
      </c>
      <c r="C15" s="10" t="s">
        <v>288</v>
      </c>
      <c r="D15" s="9" t="s">
        <v>6</v>
      </c>
      <c r="E15" s="47"/>
      <c r="F15" s="47">
        <v>4</v>
      </c>
      <c r="G15" s="47">
        <v>3</v>
      </c>
      <c r="H15" s="47"/>
      <c r="I15" s="47">
        <f>F15*G15</f>
        <v>12</v>
      </c>
      <c r="J15" s="25" t="s">
        <v>292</v>
      </c>
    </row>
    <row r="16" spans="1:10" ht="38.25" x14ac:dyDescent="0.25">
      <c r="A16" s="106" t="s">
        <v>25</v>
      </c>
      <c r="B16" s="107" t="s">
        <v>300</v>
      </c>
      <c r="C16" s="10" t="s">
        <v>332</v>
      </c>
      <c r="D16" s="9" t="s">
        <v>6</v>
      </c>
      <c r="E16" s="47"/>
      <c r="F16" s="47">
        <f>0.5*1</f>
        <v>0.5</v>
      </c>
      <c r="G16" s="47">
        <v>15</v>
      </c>
      <c r="H16" s="47"/>
      <c r="I16" s="47">
        <f>F16*G16</f>
        <v>7.5</v>
      </c>
      <c r="J16" s="25" t="s">
        <v>333</v>
      </c>
    </row>
    <row r="17" spans="1:10" x14ac:dyDescent="0.25">
      <c r="A17" s="108" t="s">
        <v>19</v>
      </c>
      <c r="B17" s="70"/>
      <c r="C17" s="71" t="s">
        <v>154</v>
      </c>
      <c r="D17" s="63"/>
      <c r="E17" s="65"/>
      <c r="F17" s="65"/>
      <c r="G17" s="65"/>
      <c r="H17" s="65"/>
      <c r="I17" s="65" t="str">
        <f>IF(D17&lt;&gt;"",ROUND(PRODUCT(E17:H17),2),"")</f>
        <v/>
      </c>
      <c r="J17" s="67"/>
    </row>
    <row r="18" spans="1:10" x14ac:dyDescent="0.25">
      <c r="A18" s="109" t="s">
        <v>9</v>
      </c>
      <c r="B18" s="72"/>
      <c r="C18" s="73" t="s">
        <v>143</v>
      </c>
      <c r="D18" s="74"/>
      <c r="E18" s="75"/>
      <c r="F18" s="75"/>
      <c r="G18" s="75"/>
      <c r="H18" s="75"/>
      <c r="I18" s="75"/>
      <c r="J18" s="80"/>
    </row>
    <row r="19" spans="1:10" ht="25.5" x14ac:dyDescent="0.25">
      <c r="A19" s="110" t="s">
        <v>142</v>
      </c>
      <c r="B19" s="40" t="s">
        <v>301</v>
      </c>
      <c r="C19" s="14" t="s">
        <v>36</v>
      </c>
      <c r="D19" s="15" t="s">
        <v>6</v>
      </c>
      <c r="E19" s="49"/>
      <c r="F19" s="49">
        <v>5</v>
      </c>
      <c r="G19" s="49">
        <v>3</v>
      </c>
      <c r="H19" s="49"/>
      <c r="I19" s="49">
        <f>F19*G19</f>
        <v>15</v>
      </c>
      <c r="J19" s="35" t="s">
        <v>634</v>
      </c>
    </row>
    <row r="20" spans="1:10" x14ac:dyDescent="0.25">
      <c r="A20" s="109" t="s">
        <v>10</v>
      </c>
      <c r="B20" s="74"/>
      <c r="C20" s="76" t="s">
        <v>642</v>
      </c>
      <c r="D20" s="77"/>
      <c r="E20" s="54"/>
      <c r="F20" s="54"/>
      <c r="G20" s="54"/>
      <c r="H20" s="54"/>
      <c r="I20" s="54"/>
      <c r="J20" s="55"/>
    </row>
    <row r="21" spans="1:10" ht="51" x14ac:dyDescent="0.25">
      <c r="A21" s="111" t="s">
        <v>67</v>
      </c>
      <c r="B21" s="45" t="s">
        <v>309</v>
      </c>
      <c r="C21" s="8" t="s">
        <v>164</v>
      </c>
      <c r="D21" s="24" t="s">
        <v>30</v>
      </c>
      <c r="E21" s="97"/>
      <c r="F21" s="97">
        <v>2.2000000000000002</v>
      </c>
      <c r="G21" s="97">
        <v>0.7</v>
      </c>
      <c r="H21" s="97">
        <v>1.07</v>
      </c>
      <c r="I21" s="97">
        <f>F21*G21*H21</f>
        <v>1.6478000000000002</v>
      </c>
      <c r="J21" s="98" t="s">
        <v>341</v>
      </c>
    </row>
    <row r="22" spans="1:10" ht="25.5" x14ac:dyDescent="0.25">
      <c r="A22" s="111" t="s">
        <v>68</v>
      </c>
      <c r="B22" s="6" t="s">
        <v>39</v>
      </c>
      <c r="C22" s="33" t="s">
        <v>38</v>
      </c>
      <c r="D22" s="34" t="s">
        <v>30</v>
      </c>
      <c r="E22" s="97"/>
      <c r="F22" s="49">
        <v>0.05</v>
      </c>
      <c r="G22" s="49">
        <v>0.7</v>
      </c>
      <c r="H22" s="49">
        <v>2.2000000000000002</v>
      </c>
      <c r="I22" s="49">
        <f>F22*(G22*H22)</f>
        <v>7.7000000000000013E-2</v>
      </c>
      <c r="J22" s="35" t="s">
        <v>643</v>
      </c>
    </row>
    <row r="23" spans="1:10" ht="38.25" x14ac:dyDescent="0.25">
      <c r="A23" s="111" t="s">
        <v>641</v>
      </c>
      <c r="B23" s="6" t="s">
        <v>305</v>
      </c>
      <c r="C23" s="33" t="s">
        <v>968</v>
      </c>
      <c r="D23" s="34" t="s">
        <v>30</v>
      </c>
      <c r="E23" s="97"/>
      <c r="F23" s="49">
        <f>2.2*0.2*1.07</f>
        <v>0.47080000000000011</v>
      </c>
      <c r="G23" s="49">
        <f>(0.5*0.2*1.07)*2</f>
        <v>0.21400000000000002</v>
      </c>
      <c r="H23" s="49">
        <f>0.7*2.2*0.2</f>
        <v>0.30800000000000005</v>
      </c>
      <c r="I23" s="49">
        <f>F23+G23+H23</f>
        <v>0.99280000000000013</v>
      </c>
      <c r="J23" s="35" t="s">
        <v>644</v>
      </c>
    </row>
    <row r="24" spans="1:10" x14ac:dyDescent="0.25">
      <c r="A24" s="109" t="s">
        <v>46</v>
      </c>
      <c r="B24" s="74"/>
      <c r="C24" s="76" t="s">
        <v>636</v>
      </c>
      <c r="D24" s="77"/>
      <c r="E24" s="54"/>
      <c r="F24" s="54"/>
      <c r="G24" s="54"/>
      <c r="H24" s="54"/>
      <c r="I24" s="54"/>
      <c r="J24" s="55"/>
    </row>
    <row r="25" spans="1:10" ht="63.75" x14ac:dyDescent="0.25">
      <c r="A25" s="111" t="s">
        <v>69</v>
      </c>
      <c r="B25" s="45" t="s">
        <v>309</v>
      </c>
      <c r="C25" s="8" t="s">
        <v>164</v>
      </c>
      <c r="D25" s="24" t="s">
        <v>30</v>
      </c>
      <c r="E25" s="97"/>
      <c r="F25" s="97">
        <f>2.2+1</f>
        <v>3.2</v>
      </c>
      <c r="G25" s="97">
        <f>1.9+1</f>
        <v>2.9</v>
      </c>
      <c r="H25" s="97">
        <v>1.4</v>
      </c>
      <c r="I25" s="97">
        <f>F25*G25*H25</f>
        <v>12.991999999999999</v>
      </c>
      <c r="J25" s="98" t="s">
        <v>637</v>
      </c>
    </row>
    <row r="26" spans="1:10" ht="25.5" x14ac:dyDescent="0.25">
      <c r="A26" s="111" t="s">
        <v>70</v>
      </c>
      <c r="B26" s="6" t="s">
        <v>39</v>
      </c>
      <c r="C26" s="33" t="s">
        <v>38</v>
      </c>
      <c r="D26" s="34" t="s">
        <v>30</v>
      </c>
      <c r="E26" s="97"/>
      <c r="F26" s="49">
        <v>0.05</v>
      </c>
      <c r="G26" s="49">
        <v>1.5</v>
      </c>
      <c r="H26" s="49">
        <v>1.8</v>
      </c>
      <c r="I26" s="49">
        <f>F26*(G26*H26)</f>
        <v>0.13500000000000001</v>
      </c>
      <c r="J26" s="35" t="s">
        <v>638</v>
      </c>
    </row>
    <row r="27" spans="1:10" ht="25.5" x14ac:dyDescent="0.25">
      <c r="A27" s="111" t="s">
        <v>71</v>
      </c>
      <c r="B27" s="6" t="s">
        <v>305</v>
      </c>
      <c r="C27" s="33" t="s">
        <v>968</v>
      </c>
      <c r="D27" s="34" t="s">
        <v>30</v>
      </c>
      <c r="E27" s="97"/>
      <c r="F27" s="49">
        <v>2.2000000000000002</v>
      </c>
      <c r="G27" s="49">
        <v>1.9</v>
      </c>
      <c r="H27" s="49">
        <v>0.35</v>
      </c>
      <c r="I27" s="49">
        <f>F27*G27*H27</f>
        <v>1.4629999999999999</v>
      </c>
      <c r="J27" s="35" t="s">
        <v>653</v>
      </c>
    </row>
    <row r="28" spans="1:10" ht="51" x14ac:dyDescent="0.25">
      <c r="A28" s="111" t="s">
        <v>631</v>
      </c>
      <c r="B28" s="6" t="s">
        <v>307</v>
      </c>
      <c r="C28" s="33" t="s">
        <v>848</v>
      </c>
      <c r="D28" s="34" t="s">
        <v>6</v>
      </c>
      <c r="E28" s="97"/>
      <c r="F28" s="49">
        <f>1.5*2</f>
        <v>3</v>
      </c>
      <c r="G28" s="49">
        <f>2.2*2</f>
        <v>4.4000000000000004</v>
      </c>
      <c r="H28" s="49">
        <v>1.05</v>
      </c>
      <c r="I28" s="49">
        <f>(F28+G28)*H28</f>
        <v>7.7700000000000005</v>
      </c>
      <c r="J28" s="35" t="s">
        <v>639</v>
      </c>
    </row>
    <row r="29" spans="1:10" ht="38.25" x14ac:dyDescent="0.25">
      <c r="A29" s="111" t="s">
        <v>645</v>
      </c>
      <c r="B29" s="6" t="s">
        <v>767</v>
      </c>
      <c r="C29" s="33" t="s">
        <v>766</v>
      </c>
      <c r="D29" s="34" t="s">
        <v>6</v>
      </c>
      <c r="E29" s="97">
        <v>2</v>
      </c>
      <c r="F29" s="49">
        <v>7.77</v>
      </c>
      <c r="G29" s="49"/>
      <c r="H29" s="49"/>
      <c r="I29" s="49">
        <f>F29*E29</f>
        <v>15.54</v>
      </c>
      <c r="J29" s="35" t="s">
        <v>72</v>
      </c>
    </row>
    <row r="30" spans="1:10" ht="38.25" x14ac:dyDescent="0.25">
      <c r="A30" s="111" t="s">
        <v>646</v>
      </c>
      <c r="B30" s="6" t="s">
        <v>303</v>
      </c>
      <c r="C30" s="33" t="s">
        <v>302</v>
      </c>
      <c r="D30" s="34" t="s">
        <v>30</v>
      </c>
      <c r="E30" s="49"/>
      <c r="F30" s="49">
        <v>12.99</v>
      </c>
      <c r="G30" s="49">
        <f>2.2*1.9*1.4</f>
        <v>5.8519999999999994</v>
      </c>
      <c r="H30" s="49"/>
      <c r="I30" s="49">
        <f>F30-G30</f>
        <v>7.1380000000000008</v>
      </c>
      <c r="J30" s="35" t="s">
        <v>640</v>
      </c>
    </row>
    <row r="31" spans="1:10" ht="51" x14ac:dyDescent="0.25">
      <c r="A31" s="111" t="s">
        <v>647</v>
      </c>
      <c r="B31" s="13" t="s">
        <v>319</v>
      </c>
      <c r="C31" s="42" t="s">
        <v>1279</v>
      </c>
      <c r="D31" s="15" t="s">
        <v>6</v>
      </c>
      <c r="E31" s="49"/>
      <c r="F31" s="49">
        <v>1.7</v>
      </c>
      <c r="G31" s="49">
        <v>2</v>
      </c>
      <c r="H31" s="49"/>
      <c r="I31" s="49">
        <f>F31*G31</f>
        <v>3.4</v>
      </c>
      <c r="J31" s="35" t="s">
        <v>635</v>
      </c>
    </row>
    <row r="32" spans="1:10" x14ac:dyDescent="0.25">
      <c r="A32" s="109" t="s">
        <v>73</v>
      </c>
      <c r="B32" s="53"/>
      <c r="C32" s="76" t="s">
        <v>83</v>
      </c>
      <c r="D32" s="77"/>
      <c r="E32" s="56"/>
      <c r="F32" s="54"/>
      <c r="G32" s="54"/>
      <c r="H32" s="54"/>
      <c r="I32" s="54"/>
      <c r="J32" s="55"/>
    </row>
    <row r="33" spans="1:10" ht="51" x14ac:dyDescent="0.25">
      <c r="A33" s="110" t="s">
        <v>144</v>
      </c>
      <c r="B33" s="6" t="s">
        <v>309</v>
      </c>
      <c r="C33" s="7" t="s">
        <v>164</v>
      </c>
      <c r="D33" s="40" t="s">
        <v>30</v>
      </c>
      <c r="E33" s="49"/>
      <c r="F33" s="49">
        <f>1.35+1</f>
        <v>2.35</v>
      </c>
      <c r="G33" s="49">
        <f>1.2+1</f>
        <v>2.2000000000000002</v>
      </c>
      <c r="H33" s="49">
        <v>1.3</v>
      </c>
      <c r="I33" s="39">
        <f>F33*G33*H33</f>
        <v>6.721000000000001</v>
      </c>
      <c r="J33" s="35" t="s">
        <v>651</v>
      </c>
    </row>
    <row r="34" spans="1:10" ht="25.5" x14ac:dyDescent="0.25">
      <c r="A34" s="110" t="s">
        <v>185</v>
      </c>
      <c r="B34" s="6" t="s">
        <v>39</v>
      </c>
      <c r="C34" s="33" t="s">
        <v>38</v>
      </c>
      <c r="D34" s="34" t="s">
        <v>30</v>
      </c>
      <c r="E34" s="97"/>
      <c r="F34" s="49">
        <v>0.05</v>
      </c>
      <c r="G34" s="49">
        <v>1.35</v>
      </c>
      <c r="H34" s="49">
        <v>1.2</v>
      </c>
      <c r="I34" s="49">
        <f>F34*(G34*H34)</f>
        <v>8.1000000000000016E-2</v>
      </c>
      <c r="J34" s="35" t="s">
        <v>638</v>
      </c>
    </row>
    <row r="35" spans="1:10" ht="25.5" x14ac:dyDescent="0.25">
      <c r="A35" s="110" t="s">
        <v>186</v>
      </c>
      <c r="B35" s="6" t="s">
        <v>305</v>
      </c>
      <c r="C35" s="33" t="s">
        <v>968</v>
      </c>
      <c r="D35" s="34" t="s">
        <v>30</v>
      </c>
      <c r="E35" s="97">
        <v>2</v>
      </c>
      <c r="F35" s="49">
        <v>1.35</v>
      </c>
      <c r="G35" s="49">
        <v>1.2</v>
      </c>
      <c r="H35" s="49">
        <v>0.1</v>
      </c>
      <c r="I35" s="49">
        <f>E35*F35*G35*H35</f>
        <v>0.32400000000000007</v>
      </c>
      <c r="J35" s="35" t="s">
        <v>654</v>
      </c>
    </row>
    <row r="36" spans="1:10" ht="51" x14ac:dyDescent="0.25">
      <c r="A36" s="110" t="s">
        <v>648</v>
      </c>
      <c r="B36" s="6" t="s">
        <v>307</v>
      </c>
      <c r="C36" s="33" t="s">
        <v>848</v>
      </c>
      <c r="D36" s="34" t="s">
        <v>6</v>
      </c>
      <c r="E36" s="97"/>
      <c r="F36" s="49">
        <f>1.35*2</f>
        <v>2.7</v>
      </c>
      <c r="G36" s="49">
        <f>0.8*2</f>
        <v>1.6</v>
      </c>
      <c r="H36" s="49">
        <v>1.2</v>
      </c>
      <c r="I36" s="49">
        <f>(F36+G36)*H36</f>
        <v>5.160000000000001</v>
      </c>
      <c r="J36" s="35" t="s">
        <v>652</v>
      </c>
    </row>
    <row r="37" spans="1:10" ht="38.25" x14ac:dyDescent="0.25">
      <c r="A37" s="110" t="s">
        <v>649</v>
      </c>
      <c r="B37" s="6" t="s">
        <v>767</v>
      </c>
      <c r="C37" s="33" t="s">
        <v>766</v>
      </c>
      <c r="D37" s="34" t="s">
        <v>6</v>
      </c>
      <c r="E37" s="97">
        <v>2</v>
      </c>
      <c r="F37" s="49">
        <v>5.16</v>
      </c>
      <c r="G37" s="49"/>
      <c r="H37" s="49"/>
      <c r="I37" s="49">
        <f>F37*E37</f>
        <v>10.32</v>
      </c>
      <c r="J37" s="35" t="s">
        <v>72</v>
      </c>
    </row>
    <row r="38" spans="1:10" ht="38.25" x14ac:dyDescent="0.25">
      <c r="A38" s="110" t="s">
        <v>650</v>
      </c>
      <c r="B38" s="6" t="s">
        <v>303</v>
      </c>
      <c r="C38" s="33" t="s">
        <v>302</v>
      </c>
      <c r="D38" s="34" t="s">
        <v>30</v>
      </c>
      <c r="E38" s="49"/>
      <c r="F38" s="49">
        <v>6.72</v>
      </c>
      <c r="G38" s="49">
        <f>2.2*1.9*1.4</f>
        <v>5.8519999999999994</v>
      </c>
      <c r="H38" s="49"/>
      <c r="I38" s="49">
        <f>F38-G38</f>
        <v>0.86800000000000033</v>
      </c>
      <c r="J38" s="35" t="s">
        <v>640</v>
      </c>
    </row>
    <row r="39" spans="1:10" x14ac:dyDescent="0.25">
      <c r="A39" s="109" t="s">
        <v>155</v>
      </c>
      <c r="B39" s="53"/>
      <c r="C39" s="76" t="s">
        <v>334</v>
      </c>
      <c r="D39" s="77"/>
      <c r="E39" s="54"/>
      <c r="F39" s="54"/>
      <c r="G39" s="54"/>
      <c r="H39" s="54"/>
      <c r="I39" s="54"/>
      <c r="J39" s="55"/>
    </row>
    <row r="40" spans="1:10" x14ac:dyDescent="0.25">
      <c r="A40" s="110" t="s">
        <v>156</v>
      </c>
      <c r="B40" s="6" t="s">
        <v>320</v>
      </c>
      <c r="C40" s="7" t="s">
        <v>630</v>
      </c>
      <c r="D40" s="40" t="s">
        <v>35</v>
      </c>
      <c r="E40" s="50"/>
      <c r="F40" s="47">
        <v>2</v>
      </c>
      <c r="G40" s="47"/>
      <c r="H40" s="47"/>
      <c r="I40" s="47">
        <f>F40</f>
        <v>2</v>
      </c>
      <c r="J40" s="25" t="s">
        <v>189</v>
      </c>
    </row>
    <row r="41" spans="1:10" ht="25.5" x14ac:dyDescent="0.25">
      <c r="A41" s="110" t="s">
        <v>157</v>
      </c>
      <c r="B41" s="6" t="s">
        <v>1281</v>
      </c>
      <c r="C41" s="7" t="s">
        <v>980</v>
      </c>
      <c r="D41" s="40" t="s">
        <v>35</v>
      </c>
      <c r="E41" s="50"/>
      <c r="F41" s="47">
        <v>1</v>
      </c>
      <c r="G41" s="47"/>
      <c r="H41" s="47"/>
      <c r="I41" s="47">
        <f>F41</f>
        <v>1</v>
      </c>
      <c r="J41" s="25" t="s">
        <v>190</v>
      </c>
    </row>
    <row r="42" spans="1:10" ht="25.5" x14ac:dyDescent="0.25">
      <c r="A42" s="110" t="s">
        <v>158</v>
      </c>
      <c r="B42" s="13" t="s">
        <v>966</v>
      </c>
      <c r="C42" s="58" t="s">
        <v>33</v>
      </c>
      <c r="D42" s="15" t="s">
        <v>35</v>
      </c>
      <c r="E42" s="49"/>
      <c r="F42" s="49">
        <v>15</v>
      </c>
      <c r="G42" s="49"/>
      <c r="H42" s="49"/>
      <c r="I42" s="49">
        <f>F42</f>
        <v>15</v>
      </c>
      <c r="J42" s="35" t="s">
        <v>633</v>
      </c>
    </row>
    <row r="43" spans="1:10" ht="25.5" x14ac:dyDescent="0.25">
      <c r="A43" s="110" t="s">
        <v>159</v>
      </c>
      <c r="B43" s="13" t="s">
        <v>314</v>
      </c>
      <c r="C43" s="58" t="s">
        <v>632</v>
      </c>
      <c r="D43" s="15" t="s">
        <v>35</v>
      </c>
      <c r="E43" s="49"/>
      <c r="F43" s="49">
        <v>8</v>
      </c>
      <c r="G43" s="49"/>
      <c r="H43" s="49"/>
      <c r="I43" s="49">
        <f>F43</f>
        <v>8</v>
      </c>
      <c r="J43" s="35" t="s">
        <v>633</v>
      </c>
    </row>
    <row r="44" spans="1:10" x14ac:dyDescent="0.25">
      <c r="A44" s="109" t="s">
        <v>655</v>
      </c>
      <c r="B44" s="74"/>
      <c r="C44" s="76" t="s">
        <v>172</v>
      </c>
      <c r="D44" s="77"/>
      <c r="E44" s="78"/>
      <c r="F44" s="54"/>
      <c r="G44" s="54"/>
      <c r="H44" s="54"/>
      <c r="I44" s="54"/>
      <c r="J44" s="55"/>
    </row>
    <row r="45" spans="1:10" ht="51" x14ac:dyDescent="0.25">
      <c r="A45" s="110" t="s">
        <v>656</v>
      </c>
      <c r="B45" s="6" t="s">
        <v>309</v>
      </c>
      <c r="C45" s="7" t="s">
        <v>164</v>
      </c>
      <c r="D45" s="40" t="s">
        <v>30</v>
      </c>
      <c r="E45" s="49"/>
      <c r="F45" s="49">
        <f>20.3+21.72+29.02+21.47+37.04+17.71+2.5</f>
        <v>149.76</v>
      </c>
      <c r="G45" s="49">
        <v>0.6</v>
      </c>
      <c r="H45" s="49">
        <v>0.4</v>
      </c>
      <c r="I45" s="49">
        <f>F45*G45*H45</f>
        <v>35.942399999999999</v>
      </c>
      <c r="J45" s="35" t="s">
        <v>341</v>
      </c>
    </row>
    <row r="46" spans="1:10" ht="38.25" x14ac:dyDescent="0.25">
      <c r="A46" s="110" t="s">
        <v>657</v>
      </c>
      <c r="B46" s="13" t="s">
        <v>303</v>
      </c>
      <c r="C46" s="14" t="s">
        <v>302</v>
      </c>
      <c r="D46" s="15" t="s">
        <v>30</v>
      </c>
      <c r="E46" s="49"/>
      <c r="F46" s="49">
        <v>35.94</v>
      </c>
      <c r="G46" s="49"/>
      <c r="H46" s="49"/>
      <c r="I46" s="49">
        <f>F46</f>
        <v>35.94</v>
      </c>
      <c r="J46" s="35" t="s">
        <v>338</v>
      </c>
    </row>
    <row r="47" spans="1:10" ht="25.5" x14ac:dyDescent="0.25">
      <c r="A47" s="110" t="s">
        <v>658</v>
      </c>
      <c r="B47" s="6" t="s">
        <v>322</v>
      </c>
      <c r="C47" s="14" t="s">
        <v>171</v>
      </c>
      <c r="D47" s="15" t="s">
        <v>35</v>
      </c>
      <c r="E47" s="39"/>
      <c r="F47" s="47">
        <v>7</v>
      </c>
      <c r="G47" s="47"/>
      <c r="H47" s="47"/>
      <c r="I47" s="47">
        <f>F47</f>
        <v>7</v>
      </c>
      <c r="J47" s="25" t="s">
        <v>187</v>
      </c>
    </row>
    <row r="48" spans="1:10" ht="38.25" x14ac:dyDescent="0.25">
      <c r="A48" s="110" t="s">
        <v>659</v>
      </c>
      <c r="B48" s="40" t="s">
        <v>316</v>
      </c>
      <c r="C48" s="14" t="s">
        <v>337</v>
      </c>
      <c r="D48" s="15" t="s">
        <v>35</v>
      </c>
      <c r="E48" s="39"/>
      <c r="F48" s="47">
        <v>1</v>
      </c>
      <c r="G48" s="47"/>
      <c r="H48" s="47"/>
      <c r="I48" s="47">
        <f>F48</f>
        <v>1</v>
      </c>
      <c r="J48" s="25" t="s">
        <v>188</v>
      </c>
    </row>
    <row r="49" spans="1:10" ht="25.5" x14ac:dyDescent="0.25">
      <c r="A49" s="110" t="s">
        <v>660</v>
      </c>
      <c r="B49" s="6" t="s">
        <v>962</v>
      </c>
      <c r="C49" s="7" t="s">
        <v>336</v>
      </c>
      <c r="D49" s="40" t="s">
        <v>35</v>
      </c>
      <c r="E49" s="50"/>
      <c r="F49" s="47">
        <v>1</v>
      </c>
      <c r="G49" s="47"/>
      <c r="H49" s="47"/>
      <c r="I49" s="47">
        <f>F49</f>
        <v>1</v>
      </c>
      <c r="J49" s="25" t="s">
        <v>833</v>
      </c>
    </row>
    <row r="50" spans="1:10" x14ac:dyDescent="0.25">
      <c r="A50" s="108" t="s">
        <v>47</v>
      </c>
      <c r="B50" s="70"/>
      <c r="C50" s="71" t="s">
        <v>160</v>
      </c>
      <c r="D50" s="63"/>
      <c r="E50" s="65"/>
      <c r="F50" s="65"/>
      <c r="G50" s="65"/>
      <c r="H50" s="65"/>
      <c r="I50" s="65" t="str">
        <f>IF(D50&lt;&gt;"",ROUND(PRODUCT(E50:H50),2),"")</f>
        <v/>
      </c>
      <c r="J50" s="67"/>
    </row>
    <row r="51" spans="1:10" x14ac:dyDescent="0.25">
      <c r="A51" s="109" t="s">
        <v>48</v>
      </c>
      <c r="B51" s="74"/>
      <c r="C51" s="76" t="s">
        <v>666</v>
      </c>
      <c r="D51" s="77"/>
      <c r="E51" s="54"/>
      <c r="F51" s="54"/>
      <c r="G51" s="54"/>
      <c r="H51" s="54"/>
      <c r="I51" s="78"/>
      <c r="J51" s="55"/>
    </row>
    <row r="52" spans="1:10" ht="38.25" x14ac:dyDescent="0.25">
      <c r="A52" s="110" t="s">
        <v>145</v>
      </c>
      <c r="B52" s="6" t="s">
        <v>1317</v>
      </c>
      <c r="C52" s="7" t="s">
        <v>1316</v>
      </c>
      <c r="D52" s="40" t="s">
        <v>30</v>
      </c>
      <c r="E52" s="49"/>
      <c r="F52" s="49">
        <f>162-70</f>
        <v>92</v>
      </c>
      <c r="G52" s="49">
        <v>0.4</v>
      </c>
      <c r="H52" s="49">
        <v>0.8</v>
      </c>
      <c r="I52" s="39">
        <f>F52*G52*H52</f>
        <v>29.440000000000005</v>
      </c>
      <c r="J52" s="35" t="s">
        <v>43</v>
      </c>
    </row>
    <row r="53" spans="1:10" ht="25.5" x14ac:dyDescent="0.25">
      <c r="A53" s="110" t="s">
        <v>178</v>
      </c>
      <c r="B53" s="6" t="s">
        <v>1296</v>
      </c>
      <c r="C53" s="14" t="s">
        <v>1295</v>
      </c>
      <c r="D53" s="15" t="s">
        <v>6</v>
      </c>
      <c r="E53" s="50"/>
      <c r="F53" s="47">
        <v>92</v>
      </c>
      <c r="G53" s="47">
        <v>0.4</v>
      </c>
      <c r="H53" s="47"/>
      <c r="I53" s="47">
        <f>F53*G53</f>
        <v>36.800000000000004</v>
      </c>
      <c r="J53" s="25" t="s">
        <v>1297</v>
      </c>
    </row>
    <row r="54" spans="1:10" ht="25.5" x14ac:dyDescent="0.25">
      <c r="A54" s="110" t="s">
        <v>161</v>
      </c>
      <c r="B54" s="6" t="s">
        <v>1285</v>
      </c>
      <c r="C54" s="14" t="s">
        <v>667</v>
      </c>
      <c r="D54" s="15" t="s">
        <v>37</v>
      </c>
      <c r="E54" s="50"/>
      <c r="F54" s="47">
        <v>92</v>
      </c>
      <c r="G54" s="47"/>
      <c r="H54" s="47"/>
      <c r="I54" s="47">
        <f>F54</f>
        <v>92</v>
      </c>
      <c r="J54" s="25" t="s">
        <v>42</v>
      </c>
    </row>
    <row r="55" spans="1:10" ht="51" x14ac:dyDescent="0.25">
      <c r="A55" s="110" t="s">
        <v>380</v>
      </c>
      <c r="B55" s="45" t="s">
        <v>668</v>
      </c>
      <c r="C55" s="33" t="s">
        <v>669</v>
      </c>
      <c r="D55" s="34" t="s">
        <v>30</v>
      </c>
      <c r="E55" s="49"/>
      <c r="F55" s="49">
        <v>70</v>
      </c>
      <c r="G55" s="49">
        <v>0.4</v>
      </c>
      <c r="H55" s="49">
        <v>0.6</v>
      </c>
      <c r="I55" s="39">
        <f>F55*G55*H55</f>
        <v>16.8</v>
      </c>
      <c r="J55" s="35" t="s">
        <v>43</v>
      </c>
    </row>
    <row r="56" spans="1:10" ht="38.25" x14ac:dyDescent="0.25">
      <c r="A56" s="110" t="s">
        <v>381</v>
      </c>
      <c r="B56" s="99" t="s">
        <v>670</v>
      </c>
      <c r="C56" s="33" t="s">
        <v>671</v>
      </c>
      <c r="D56" s="34" t="s">
        <v>30</v>
      </c>
      <c r="E56" s="49"/>
      <c r="F56" s="49">
        <v>16.8</v>
      </c>
      <c r="G56" s="49">
        <v>1.25</v>
      </c>
      <c r="H56" s="49"/>
      <c r="I56" s="49">
        <f>F56*G56</f>
        <v>21</v>
      </c>
      <c r="J56" s="35" t="s">
        <v>672</v>
      </c>
    </row>
    <row r="57" spans="1:10" ht="25.5" x14ac:dyDescent="0.25">
      <c r="A57" s="110" t="s">
        <v>382</v>
      </c>
      <c r="B57" s="6" t="s">
        <v>1285</v>
      </c>
      <c r="C57" s="33" t="s">
        <v>667</v>
      </c>
      <c r="D57" s="34" t="s">
        <v>37</v>
      </c>
      <c r="E57" s="50"/>
      <c r="F57" s="47">
        <v>70</v>
      </c>
      <c r="G57" s="47"/>
      <c r="H57" s="47"/>
      <c r="I57" s="47">
        <f>F57</f>
        <v>70</v>
      </c>
      <c r="J57" s="25" t="s">
        <v>42</v>
      </c>
    </row>
    <row r="58" spans="1:10" ht="38.25" x14ac:dyDescent="0.25">
      <c r="A58" s="110" t="s">
        <v>383</v>
      </c>
      <c r="B58" s="6" t="s">
        <v>675</v>
      </c>
      <c r="C58" s="33" t="s">
        <v>676</v>
      </c>
      <c r="D58" s="34" t="s">
        <v>30</v>
      </c>
      <c r="E58" s="49"/>
      <c r="F58" s="49">
        <v>16.8</v>
      </c>
      <c r="G58" s="49">
        <v>1.1000000000000001</v>
      </c>
      <c r="H58" s="49"/>
      <c r="I58" s="49">
        <f>F58*G58</f>
        <v>18.480000000000004</v>
      </c>
      <c r="J58" s="35" t="s">
        <v>1195</v>
      </c>
    </row>
    <row r="59" spans="1:10" ht="38.25" x14ac:dyDescent="0.25">
      <c r="A59" s="110" t="s">
        <v>384</v>
      </c>
      <c r="B59" s="6" t="s">
        <v>677</v>
      </c>
      <c r="C59" s="33" t="s">
        <v>678</v>
      </c>
      <c r="D59" s="34" t="s">
        <v>30</v>
      </c>
      <c r="E59" s="49"/>
      <c r="F59" s="49">
        <v>18.48</v>
      </c>
      <c r="G59" s="49"/>
      <c r="H59" s="49"/>
      <c r="I59" s="49">
        <f>F59</f>
        <v>18.48</v>
      </c>
      <c r="J59" s="35" t="s">
        <v>679</v>
      </c>
    </row>
    <row r="60" spans="1:10" ht="51" x14ac:dyDescent="0.25">
      <c r="A60" s="110" t="s">
        <v>385</v>
      </c>
      <c r="B60" s="6" t="s">
        <v>673</v>
      </c>
      <c r="C60" s="33" t="s">
        <v>674</v>
      </c>
      <c r="D60" s="34" t="s">
        <v>30</v>
      </c>
      <c r="E60" s="49"/>
      <c r="F60" s="49">
        <v>29.44</v>
      </c>
      <c r="G60" s="49">
        <v>16.8</v>
      </c>
      <c r="H60" s="49"/>
      <c r="I60" s="49">
        <f>F60+G60</f>
        <v>46.24</v>
      </c>
      <c r="J60" s="35" t="s">
        <v>969</v>
      </c>
    </row>
    <row r="61" spans="1:10" x14ac:dyDescent="0.25">
      <c r="A61" s="109" t="s">
        <v>49</v>
      </c>
      <c r="B61" s="74"/>
      <c r="C61" s="76" t="s">
        <v>941</v>
      </c>
      <c r="D61" s="77"/>
      <c r="E61" s="54"/>
      <c r="F61" s="54"/>
      <c r="G61" s="54"/>
      <c r="H61" s="54"/>
      <c r="I61" s="78"/>
      <c r="J61" s="55"/>
    </row>
    <row r="62" spans="1:10" ht="38.25" x14ac:dyDescent="0.25">
      <c r="A62" s="110" t="s">
        <v>74</v>
      </c>
      <c r="B62" s="6" t="s">
        <v>306</v>
      </c>
      <c r="C62" s="7" t="s">
        <v>40</v>
      </c>
      <c r="D62" s="40" t="s">
        <v>6</v>
      </c>
      <c r="E62" s="49"/>
      <c r="F62" s="49">
        <f>3*0.523</f>
        <v>1.569</v>
      </c>
      <c r="G62" s="49">
        <v>0.34539999999999998</v>
      </c>
      <c r="H62" s="49"/>
      <c r="I62" s="39">
        <f>F62+G62</f>
        <v>1.9143999999999999</v>
      </c>
      <c r="J62" s="35" t="s">
        <v>939</v>
      </c>
    </row>
    <row r="63" spans="1:10" ht="38.25" x14ac:dyDescent="0.25">
      <c r="A63" s="110" t="s">
        <v>75</v>
      </c>
      <c r="B63" s="13" t="s">
        <v>725</v>
      </c>
      <c r="C63" s="14" t="s">
        <v>724</v>
      </c>
      <c r="D63" s="15" t="s">
        <v>30</v>
      </c>
      <c r="E63" s="50"/>
      <c r="F63" s="47">
        <f>3*0.4958</f>
        <v>1.4874000000000001</v>
      </c>
      <c r="G63" s="47">
        <f>0.2683</f>
        <v>0.26829999999999998</v>
      </c>
      <c r="H63" s="47"/>
      <c r="I63" s="39">
        <f>F63+G63</f>
        <v>1.7557</v>
      </c>
      <c r="J63" s="35" t="s">
        <v>940</v>
      </c>
    </row>
    <row r="64" spans="1:10" ht="25.5" x14ac:dyDescent="0.25">
      <c r="A64" s="110" t="s">
        <v>76</v>
      </c>
      <c r="B64" s="6" t="s">
        <v>723</v>
      </c>
      <c r="C64" s="33" t="s">
        <v>722</v>
      </c>
      <c r="D64" s="34" t="s">
        <v>30</v>
      </c>
      <c r="E64" s="97"/>
      <c r="F64" s="49">
        <v>1.76</v>
      </c>
      <c r="G64" s="49"/>
      <c r="H64" s="49"/>
      <c r="I64" s="49">
        <f>F64</f>
        <v>1.76</v>
      </c>
      <c r="J64" s="35" t="s">
        <v>779</v>
      </c>
    </row>
    <row r="65" spans="1:10" x14ac:dyDescent="0.25">
      <c r="A65" s="108" t="s">
        <v>55</v>
      </c>
      <c r="B65" s="61"/>
      <c r="C65" s="62" t="s">
        <v>213</v>
      </c>
      <c r="D65" s="62"/>
      <c r="E65" s="64"/>
      <c r="F65" s="65"/>
      <c r="G65" s="65"/>
      <c r="H65" s="65"/>
      <c r="I65" s="65"/>
      <c r="J65" s="67"/>
    </row>
    <row r="66" spans="1:10" x14ac:dyDescent="0.25">
      <c r="A66" s="109" t="s">
        <v>56</v>
      </c>
      <c r="B66" s="57"/>
      <c r="C66" s="79" t="s">
        <v>143</v>
      </c>
      <c r="D66" s="79"/>
      <c r="E66" s="54"/>
      <c r="F66" s="75"/>
      <c r="G66" s="75"/>
      <c r="H66" s="75"/>
      <c r="I66" s="75"/>
      <c r="J66" s="80"/>
    </row>
    <row r="67" spans="1:10" ht="38.25" x14ac:dyDescent="0.25">
      <c r="A67" s="110" t="s">
        <v>146</v>
      </c>
      <c r="B67" s="40">
        <v>73672</v>
      </c>
      <c r="C67" s="14" t="s">
        <v>1318</v>
      </c>
      <c r="D67" s="15" t="s">
        <v>6</v>
      </c>
      <c r="E67" s="39"/>
      <c r="F67" s="47">
        <v>50</v>
      </c>
      <c r="G67" s="47">
        <v>50</v>
      </c>
      <c r="H67" s="47"/>
      <c r="I67" s="47">
        <f>F67*G67</f>
        <v>2500</v>
      </c>
      <c r="J67" s="25" t="s">
        <v>44</v>
      </c>
    </row>
    <row r="68" spans="1:10" ht="25.5" x14ac:dyDescent="0.25">
      <c r="A68" s="110" t="s">
        <v>229</v>
      </c>
      <c r="B68" s="13" t="s">
        <v>937</v>
      </c>
      <c r="C68" s="14" t="s">
        <v>973</v>
      </c>
      <c r="D68" s="15" t="s">
        <v>30</v>
      </c>
      <c r="E68" s="50"/>
      <c r="F68" s="47">
        <v>350</v>
      </c>
      <c r="G68" s="47">
        <v>1</v>
      </c>
      <c r="H68" s="47"/>
      <c r="I68" s="47">
        <f>F68*G68</f>
        <v>350</v>
      </c>
      <c r="J68" s="25" t="s">
        <v>938</v>
      </c>
    </row>
    <row r="69" spans="1:10" ht="38.25" x14ac:dyDescent="0.25">
      <c r="A69" s="110" t="s">
        <v>419</v>
      </c>
      <c r="B69" s="13" t="s">
        <v>719</v>
      </c>
      <c r="C69" s="14" t="s">
        <v>720</v>
      </c>
      <c r="D69" s="15" t="s">
        <v>6</v>
      </c>
      <c r="E69" s="50"/>
      <c r="F69" s="49">
        <f>8*6</f>
        <v>48</v>
      </c>
      <c r="G69" s="49">
        <f>19*20</f>
        <v>380</v>
      </c>
      <c r="H69" s="49"/>
      <c r="I69" s="49">
        <f>F69+G69</f>
        <v>428</v>
      </c>
      <c r="J69" s="35" t="s">
        <v>1319</v>
      </c>
    </row>
    <row r="70" spans="1:10" x14ac:dyDescent="0.25">
      <c r="A70" s="109" t="s">
        <v>57</v>
      </c>
      <c r="B70" s="74"/>
      <c r="C70" s="112" t="s">
        <v>715</v>
      </c>
      <c r="D70" s="101"/>
      <c r="E70" s="113"/>
      <c r="F70" s="54"/>
      <c r="G70" s="54"/>
      <c r="H70" s="54"/>
      <c r="I70" s="54"/>
      <c r="J70" s="55"/>
    </row>
    <row r="71" spans="1:10" ht="25.5" x14ac:dyDescent="0.25">
      <c r="A71" s="110" t="s">
        <v>118</v>
      </c>
      <c r="B71" s="6" t="s">
        <v>309</v>
      </c>
      <c r="C71" s="8" t="s">
        <v>164</v>
      </c>
      <c r="D71" s="24" t="s">
        <v>30</v>
      </c>
      <c r="E71" s="97">
        <v>11</v>
      </c>
      <c r="F71" s="49">
        <v>0.6</v>
      </c>
      <c r="G71" s="49">
        <v>0.6</v>
      </c>
      <c r="H71" s="49">
        <f>0.35+0.05</f>
        <v>0.39999999999999997</v>
      </c>
      <c r="I71" s="39">
        <f>E71*F71*G71*H71</f>
        <v>1.5839999999999996</v>
      </c>
      <c r="J71" s="35" t="s">
        <v>43</v>
      </c>
    </row>
    <row r="72" spans="1:10" ht="25.5" x14ac:dyDescent="0.25">
      <c r="A72" s="110" t="s">
        <v>119</v>
      </c>
      <c r="B72" s="6" t="s">
        <v>39</v>
      </c>
      <c r="C72" s="14" t="s">
        <v>38</v>
      </c>
      <c r="D72" s="15" t="s">
        <v>30</v>
      </c>
      <c r="E72" s="49"/>
      <c r="F72" s="49">
        <f>11*(0.05*0.6*0.6)</f>
        <v>0.19799999999999998</v>
      </c>
      <c r="G72" s="49">
        <f>(3.9*4+6.95*3+2.55+1.65)*0.15*0.05</f>
        <v>0.30487500000000001</v>
      </c>
      <c r="H72" s="49"/>
      <c r="I72" s="49">
        <f>F72+G72</f>
        <v>0.50287499999999996</v>
      </c>
      <c r="J72" s="35" t="s">
        <v>775</v>
      </c>
    </row>
    <row r="73" spans="1:10" ht="38.25" x14ac:dyDescent="0.25">
      <c r="A73" s="110" t="s">
        <v>120</v>
      </c>
      <c r="B73" s="6" t="s">
        <v>306</v>
      </c>
      <c r="C73" s="33" t="s">
        <v>40</v>
      </c>
      <c r="D73" s="34" t="s">
        <v>6</v>
      </c>
      <c r="E73" s="97"/>
      <c r="F73" s="49">
        <f>53.8+41.35</f>
        <v>95.15</v>
      </c>
      <c r="G73" s="49"/>
      <c r="H73" s="49"/>
      <c r="I73" s="49">
        <f t="shared" ref="I73:I81" si="0">F73</f>
        <v>95.15</v>
      </c>
      <c r="J73" s="35" t="s">
        <v>776</v>
      </c>
    </row>
    <row r="74" spans="1:10" ht="38.25" x14ac:dyDescent="0.25">
      <c r="A74" s="110" t="s">
        <v>121</v>
      </c>
      <c r="B74" s="6" t="s">
        <v>727</v>
      </c>
      <c r="C74" s="33" t="s">
        <v>726</v>
      </c>
      <c r="D74" s="34" t="s">
        <v>487</v>
      </c>
      <c r="E74" s="97"/>
      <c r="F74" s="49">
        <f>67+28</f>
        <v>95</v>
      </c>
      <c r="G74" s="49"/>
      <c r="H74" s="49"/>
      <c r="I74" s="49">
        <f t="shared" si="0"/>
        <v>95</v>
      </c>
      <c r="J74" s="35" t="s">
        <v>777</v>
      </c>
    </row>
    <row r="75" spans="1:10" ht="38.25" x14ac:dyDescent="0.25">
      <c r="A75" s="110" t="s">
        <v>122</v>
      </c>
      <c r="B75" s="6" t="s">
        <v>729</v>
      </c>
      <c r="C75" s="33" t="s">
        <v>728</v>
      </c>
      <c r="D75" s="34" t="s">
        <v>487</v>
      </c>
      <c r="E75" s="97"/>
      <c r="F75" s="49">
        <f>130+189</f>
        <v>319</v>
      </c>
      <c r="G75" s="49"/>
      <c r="H75" s="49"/>
      <c r="I75" s="49">
        <f t="shared" si="0"/>
        <v>319</v>
      </c>
      <c r="J75" s="35" t="s">
        <v>777</v>
      </c>
    </row>
    <row r="76" spans="1:10" ht="25.5" x14ac:dyDescent="0.25">
      <c r="A76" s="110" t="s">
        <v>123</v>
      </c>
      <c r="B76" s="6" t="s">
        <v>725</v>
      </c>
      <c r="C76" s="33" t="s">
        <v>724</v>
      </c>
      <c r="D76" s="34" t="s">
        <v>30</v>
      </c>
      <c r="E76" s="97"/>
      <c r="F76" s="49">
        <f>3.5+3.01</f>
        <v>6.51</v>
      </c>
      <c r="G76" s="49"/>
      <c r="H76" s="49"/>
      <c r="I76" s="49">
        <f t="shared" si="0"/>
        <v>6.51</v>
      </c>
      <c r="J76" s="35" t="s">
        <v>778</v>
      </c>
    </row>
    <row r="77" spans="1:10" ht="25.5" x14ac:dyDescent="0.25">
      <c r="A77" s="110" t="s">
        <v>179</v>
      </c>
      <c r="B77" s="6" t="s">
        <v>723</v>
      </c>
      <c r="C77" s="33" t="s">
        <v>722</v>
      </c>
      <c r="D77" s="34" t="s">
        <v>30</v>
      </c>
      <c r="E77" s="97"/>
      <c r="F77" s="49">
        <v>6.51</v>
      </c>
      <c r="G77" s="49"/>
      <c r="H77" s="49"/>
      <c r="I77" s="49">
        <f t="shared" si="0"/>
        <v>6.51</v>
      </c>
      <c r="J77" s="35" t="s">
        <v>779</v>
      </c>
    </row>
    <row r="78" spans="1:10" ht="38.25" x14ac:dyDescent="0.25">
      <c r="A78" s="110" t="s">
        <v>180</v>
      </c>
      <c r="B78" s="13" t="s">
        <v>303</v>
      </c>
      <c r="C78" s="14" t="s">
        <v>302</v>
      </c>
      <c r="D78" s="15" t="s">
        <v>30</v>
      </c>
      <c r="E78" s="49"/>
      <c r="F78" s="49">
        <f>0.1*6.8*3.8</f>
        <v>2.5840000000000001</v>
      </c>
      <c r="G78" s="49"/>
      <c r="H78" s="49"/>
      <c r="I78" s="49">
        <f t="shared" si="0"/>
        <v>2.5840000000000001</v>
      </c>
      <c r="J78" s="35" t="s">
        <v>780</v>
      </c>
    </row>
    <row r="79" spans="1:10" x14ac:dyDescent="0.25">
      <c r="A79" s="110" t="s">
        <v>181</v>
      </c>
      <c r="B79" s="6" t="s">
        <v>781</v>
      </c>
      <c r="C79" s="14" t="s">
        <v>782</v>
      </c>
      <c r="D79" s="15" t="s">
        <v>6</v>
      </c>
      <c r="E79" s="39"/>
      <c r="F79" s="47">
        <f>6.8*3.8</f>
        <v>25.84</v>
      </c>
      <c r="G79" s="47"/>
      <c r="H79" s="47"/>
      <c r="I79" s="47">
        <f t="shared" si="0"/>
        <v>25.84</v>
      </c>
      <c r="J79" s="25" t="s">
        <v>783</v>
      </c>
    </row>
    <row r="80" spans="1:10" ht="25.5" x14ac:dyDescent="0.25">
      <c r="A80" s="110" t="s">
        <v>182</v>
      </c>
      <c r="B80" s="6" t="s">
        <v>784</v>
      </c>
      <c r="C80" s="33" t="s">
        <v>785</v>
      </c>
      <c r="D80" s="34" t="s">
        <v>6</v>
      </c>
      <c r="E80" s="114"/>
      <c r="F80" s="47">
        <v>25.84</v>
      </c>
      <c r="G80" s="47"/>
      <c r="H80" s="47"/>
      <c r="I80" s="47">
        <f t="shared" si="0"/>
        <v>25.84</v>
      </c>
      <c r="J80" s="25" t="s">
        <v>786</v>
      </c>
    </row>
    <row r="81" spans="1:10" x14ac:dyDescent="0.25">
      <c r="A81" s="110" t="s">
        <v>183</v>
      </c>
      <c r="B81" s="6" t="s">
        <v>788</v>
      </c>
      <c r="C81" s="33" t="s">
        <v>787</v>
      </c>
      <c r="D81" s="34" t="s">
        <v>37</v>
      </c>
      <c r="E81" s="114"/>
      <c r="F81" s="47">
        <f>3.9*4+6.95*3+2.55+1.65-4.5</f>
        <v>36.15</v>
      </c>
      <c r="G81" s="47"/>
      <c r="H81" s="47"/>
      <c r="I81" s="47">
        <f t="shared" si="0"/>
        <v>36.15</v>
      </c>
      <c r="J81" s="25" t="s">
        <v>789</v>
      </c>
    </row>
    <row r="82" spans="1:10" ht="51" x14ac:dyDescent="0.25">
      <c r="A82" s="110" t="s">
        <v>276</v>
      </c>
      <c r="B82" s="6" t="s">
        <v>307</v>
      </c>
      <c r="C82" s="33" t="s">
        <v>848</v>
      </c>
      <c r="D82" s="34" t="s">
        <v>6</v>
      </c>
      <c r="E82" s="114"/>
      <c r="F82" s="47">
        <f>3.9*4+6.95*3+2.55+1.65-4.5</f>
        <v>36.15</v>
      </c>
      <c r="G82" s="47">
        <v>2.77</v>
      </c>
      <c r="H82" s="47"/>
      <c r="I82" s="47">
        <f>F82*G82</f>
        <v>100.13549999999999</v>
      </c>
      <c r="J82" s="25" t="s">
        <v>790</v>
      </c>
    </row>
    <row r="83" spans="1:10" ht="25.5" x14ac:dyDescent="0.25">
      <c r="A83" s="110" t="s">
        <v>277</v>
      </c>
      <c r="B83" s="6" t="s">
        <v>769</v>
      </c>
      <c r="C83" s="33" t="s">
        <v>768</v>
      </c>
      <c r="D83" s="34" t="s">
        <v>6</v>
      </c>
      <c r="E83" s="97">
        <v>2</v>
      </c>
      <c r="F83" s="49">
        <v>100.14</v>
      </c>
      <c r="G83" s="49"/>
      <c r="H83" s="49"/>
      <c r="I83" s="49">
        <f>F83*E83</f>
        <v>200.28</v>
      </c>
      <c r="J83" s="35" t="s">
        <v>770</v>
      </c>
    </row>
    <row r="84" spans="1:10" ht="38.25" x14ac:dyDescent="0.25">
      <c r="A84" s="110" t="s">
        <v>278</v>
      </c>
      <c r="B84" s="6" t="s">
        <v>767</v>
      </c>
      <c r="C84" s="33" t="s">
        <v>766</v>
      </c>
      <c r="D84" s="34" t="s">
        <v>6</v>
      </c>
      <c r="E84" s="97">
        <v>2</v>
      </c>
      <c r="F84" s="49">
        <v>100.14</v>
      </c>
      <c r="G84" s="49"/>
      <c r="H84" s="49"/>
      <c r="I84" s="49">
        <f>F84*E84</f>
        <v>200.28</v>
      </c>
      <c r="J84" s="35" t="s">
        <v>770</v>
      </c>
    </row>
    <row r="85" spans="1:10" ht="38.25" x14ac:dyDescent="0.25">
      <c r="A85" s="110" t="s">
        <v>813</v>
      </c>
      <c r="B85" s="6" t="s">
        <v>748</v>
      </c>
      <c r="C85" s="14" t="s">
        <v>747</v>
      </c>
      <c r="D85" s="15" t="s">
        <v>6</v>
      </c>
      <c r="E85" s="49"/>
      <c r="F85" s="49">
        <f>5.5*8.8</f>
        <v>48.400000000000006</v>
      </c>
      <c r="G85" s="49"/>
      <c r="H85" s="49"/>
      <c r="I85" s="49">
        <f>F85</f>
        <v>48.400000000000006</v>
      </c>
      <c r="J85" s="35" t="s">
        <v>749</v>
      </c>
    </row>
    <row r="86" spans="1:10" ht="25.5" x14ac:dyDescent="0.25">
      <c r="A86" s="110" t="s">
        <v>814</v>
      </c>
      <c r="B86" s="6" t="s">
        <v>792</v>
      </c>
      <c r="C86" s="14" t="s">
        <v>791</v>
      </c>
      <c r="D86" s="15" t="s">
        <v>6</v>
      </c>
      <c r="E86" s="49"/>
      <c r="F86" s="49">
        <f>3.75*6.8</f>
        <v>25.5</v>
      </c>
      <c r="G86" s="49">
        <f>(1.5*2+1.2*2)*2.5</f>
        <v>13.5</v>
      </c>
      <c r="H86" s="49"/>
      <c r="I86" s="49">
        <f>F86+G86</f>
        <v>39</v>
      </c>
      <c r="J86" s="35" t="s">
        <v>793</v>
      </c>
    </row>
    <row r="87" spans="1:10" ht="38.25" x14ac:dyDescent="0.25">
      <c r="A87" s="110" t="s">
        <v>815</v>
      </c>
      <c r="B87" s="40" t="s">
        <v>794</v>
      </c>
      <c r="C87" s="14" t="s">
        <v>805</v>
      </c>
      <c r="D87" s="15" t="s">
        <v>6</v>
      </c>
      <c r="E87" s="39"/>
      <c r="F87" s="47">
        <f>8.8+7.6+10.6+9.2</f>
        <v>36.200000000000003</v>
      </c>
      <c r="G87" s="47">
        <f>2.7</f>
        <v>2.7</v>
      </c>
      <c r="H87" s="47"/>
      <c r="I87" s="47">
        <f>F87*G87</f>
        <v>97.740000000000009</v>
      </c>
      <c r="J87" s="25" t="s">
        <v>797</v>
      </c>
    </row>
    <row r="88" spans="1:10" ht="38.25" x14ac:dyDescent="0.25">
      <c r="A88" s="110" t="s">
        <v>816</v>
      </c>
      <c r="B88" s="40" t="s">
        <v>796</v>
      </c>
      <c r="C88" s="14" t="s">
        <v>795</v>
      </c>
      <c r="D88" s="15" t="s">
        <v>6</v>
      </c>
      <c r="E88" s="39">
        <v>2</v>
      </c>
      <c r="F88" s="47">
        <f>8.8+7.6+10.6+9.2+24.1</f>
        <v>60.300000000000004</v>
      </c>
      <c r="G88" s="47">
        <f>2.7</f>
        <v>2.7</v>
      </c>
      <c r="H88" s="47"/>
      <c r="I88" s="47">
        <f>F88*G88*E88</f>
        <v>325.62000000000006</v>
      </c>
      <c r="J88" s="25" t="s">
        <v>799</v>
      </c>
    </row>
    <row r="89" spans="1:10" ht="38.25" x14ac:dyDescent="0.25">
      <c r="A89" s="110" t="s">
        <v>817</v>
      </c>
      <c r="B89" s="40" t="s">
        <v>798</v>
      </c>
      <c r="C89" s="14" t="s">
        <v>806</v>
      </c>
      <c r="D89" s="15" t="s">
        <v>6</v>
      </c>
      <c r="E89" s="39"/>
      <c r="F89" s="47">
        <f>8.8+7.6+10.6+9.2+24.1</f>
        <v>60.300000000000004</v>
      </c>
      <c r="G89" s="47">
        <f>2.7</f>
        <v>2.7</v>
      </c>
      <c r="H89" s="47"/>
      <c r="I89" s="47">
        <f>F89*G89</f>
        <v>162.81000000000003</v>
      </c>
      <c r="J89" s="25" t="s">
        <v>800</v>
      </c>
    </row>
    <row r="90" spans="1:10" ht="38.25" x14ac:dyDescent="0.25">
      <c r="A90" s="110" t="s">
        <v>818</v>
      </c>
      <c r="B90" s="6" t="s">
        <v>808</v>
      </c>
      <c r="C90" s="14" t="s">
        <v>807</v>
      </c>
      <c r="D90" s="15" t="s">
        <v>35</v>
      </c>
      <c r="E90" s="39"/>
      <c r="F90" s="47">
        <v>1</v>
      </c>
      <c r="G90" s="47"/>
      <c r="H90" s="47"/>
      <c r="I90" s="47">
        <f>SUM(F90:H90)</f>
        <v>1</v>
      </c>
      <c r="J90" s="25" t="s">
        <v>812</v>
      </c>
    </row>
    <row r="91" spans="1:10" ht="25.5" x14ac:dyDescent="0.25">
      <c r="A91" s="110" t="s">
        <v>819</v>
      </c>
      <c r="B91" s="6" t="s">
        <v>810</v>
      </c>
      <c r="C91" s="14" t="s">
        <v>809</v>
      </c>
      <c r="D91" s="15" t="s">
        <v>6</v>
      </c>
      <c r="E91" s="39"/>
      <c r="F91" s="47">
        <f>0.8*2.1*4</f>
        <v>6.7200000000000006</v>
      </c>
      <c r="G91" s="47"/>
      <c r="H91" s="47"/>
      <c r="I91" s="47">
        <f>SUM(F91:H91)</f>
        <v>6.7200000000000006</v>
      </c>
      <c r="J91" s="25" t="s">
        <v>811</v>
      </c>
    </row>
    <row r="92" spans="1:10" ht="38.25" x14ac:dyDescent="0.25">
      <c r="A92" s="110" t="s">
        <v>820</v>
      </c>
      <c r="B92" s="6" t="s">
        <v>802</v>
      </c>
      <c r="C92" s="14" t="s">
        <v>801</v>
      </c>
      <c r="D92" s="15" t="s">
        <v>6</v>
      </c>
      <c r="E92" s="39"/>
      <c r="F92" s="47">
        <f>3*1*0.8</f>
        <v>2.4000000000000004</v>
      </c>
      <c r="G92" s="47">
        <f>1.05*0.5*2</f>
        <v>1.05</v>
      </c>
      <c r="H92" s="47"/>
      <c r="I92" s="47">
        <f>SUM(F92:H92)</f>
        <v>3.45</v>
      </c>
      <c r="J92" s="25" t="s">
        <v>803</v>
      </c>
    </row>
    <row r="93" spans="1:10" ht="38.25" x14ac:dyDescent="0.25">
      <c r="A93" s="110" t="s">
        <v>821</v>
      </c>
      <c r="B93" s="6" t="s">
        <v>329</v>
      </c>
      <c r="C93" s="33" t="s">
        <v>169</v>
      </c>
      <c r="D93" s="34" t="s">
        <v>6</v>
      </c>
      <c r="E93" s="114"/>
      <c r="F93" s="47">
        <f>1*0.8*3</f>
        <v>2.4000000000000004</v>
      </c>
      <c r="G93" s="47">
        <f>0.8*1*4</f>
        <v>3.2</v>
      </c>
      <c r="H93" s="47"/>
      <c r="I93" s="47">
        <f>SUM(F93:H93)</f>
        <v>5.6000000000000005</v>
      </c>
      <c r="J93" s="25" t="s">
        <v>192</v>
      </c>
    </row>
    <row r="94" spans="1:10" ht="38.25" x14ac:dyDescent="0.25">
      <c r="A94" s="110" t="s">
        <v>822</v>
      </c>
      <c r="B94" s="6" t="s">
        <v>328</v>
      </c>
      <c r="C94" s="33" t="s">
        <v>804</v>
      </c>
      <c r="D94" s="34" t="s">
        <v>6</v>
      </c>
      <c r="E94" s="114"/>
      <c r="F94" s="47">
        <f>1.05*0.5*2</f>
        <v>1.05</v>
      </c>
      <c r="G94" s="47"/>
      <c r="H94" s="47"/>
      <c r="I94" s="47">
        <f>F94</f>
        <v>1.05</v>
      </c>
      <c r="J94" s="25" t="s">
        <v>191</v>
      </c>
    </row>
    <row r="95" spans="1:10" ht="25.5" x14ac:dyDescent="0.25">
      <c r="A95" s="110" t="s">
        <v>823</v>
      </c>
      <c r="B95" s="40" t="s">
        <v>318</v>
      </c>
      <c r="C95" s="33" t="s">
        <v>170</v>
      </c>
      <c r="D95" s="34" t="s">
        <v>35</v>
      </c>
      <c r="E95" s="114"/>
      <c r="F95" s="47">
        <v>4</v>
      </c>
      <c r="G95" s="47"/>
      <c r="H95" s="47"/>
      <c r="I95" s="47">
        <f>F95</f>
        <v>4</v>
      </c>
      <c r="J95" s="25" t="s">
        <v>193</v>
      </c>
    </row>
    <row r="96" spans="1:10" ht="25.5" x14ac:dyDescent="0.25">
      <c r="A96" s="109" t="s">
        <v>58</v>
      </c>
      <c r="B96" s="74"/>
      <c r="C96" s="73" t="s">
        <v>824</v>
      </c>
      <c r="D96" s="77"/>
      <c r="E96" s="78"/>
      <c r="F96" s="54"/>
      <c r="G96" s="54"/>
      <c r="H96" s="54"/>
      <c r="I96" s="54"/>
      <c r="J96" s="55"/>
    </row>
    <row r="97" spans="1:10" ht="63.75" x14ac:dyDescent="0.25">
      <c r="A97" s="110" t="s">
        <v>124</v>
      </c>
      <c r="B97" s="6" t="s">
        <v>325</v>
      </c>
      <c r="C97" s="14" t="s">
        <v>974</v>
      </c>
      <c r="D97" s="15" t="s">
        <v>35</v>
      </c>
      <c r="E97" s="39"/>
      <c r="F97" s="47">
        <v>1</v>
      </c>
      <c r="G97" s="47"/>
      <c r="H97" s="47"/>
      <c r="I97" s="47">
        <f t="shared" ref="I97:I106" si="1">F97</f>
        <v>1</v>
      </c>
      <c r="J97" s="25" t="s">
        <v>194</v>
      </c>
    </row>
    <row r="98" spans="1:10" ht="51" x14ac:dyDescent="0.25">
      <c r="A98" s="110" t="s">
        <v>125</v>
      </c>
      <c r="B98" s="6" t="s">
        <v>323</v>
      </c>
      <c r="C98" s="14" t="s">
        <v>975</v>
      </c>
      <c r="D98" s="15" t="s">
        <v>35</v>
      </c>
      <c r="E98" s="39"/>
      <c r="F98" s="47">
        <v>1</v>
      </c>
      <c r="G98" s="47"/>
      <c r="H98" s="47"/>
      <c r="I98" s="47">
        <f t="shared" si="1"/>
        <v>1</v>
      </c>
      <c r="J98" s="25" t="s">
        <v>195</v>
      </c>
    </row>
    <row r="99" spans="1:10" ht="51" x14ac:dyDescent="0.25">
      <c r="A99" s="110" t="s">
        <v>126</v>
      </c>
      <c r="B99" s="6" t="s">
        <v>327</v>
      </c>
      <c r="C99" s="14" t="s">
        <v>976</v>
      </c>
      <c r="D99" s="15" t="s">
        <v>35</v>
      </c>
      <c r="E99" s="39"/>
      <c r="F99" s="47">
        <v>1</v>
      </c>
      <c r="G99" s="47"/>
      <c r="H99" s="47"/>
      <c r="I99" s="47">
        <f t="shared" si="1"/>
        <v>1</v>
      </c>
      <c r="J99" s="25" t="s">
        <v>196</v>
      </c>
    </row>
    <row r="100" spans="1:10" ht="25.5" x14ac:dyDescent="0.25">
      <c r="A100" s="110" t="s">
        <v>699</v>
      </c>
      <c r="B100" s="45" t="s">
        <v>324</v>
      </c>
      <c r="C100" s="33" t="s">
        <v>977</v>
      </c>
      <c r="D100" s="34" t="s">
        <v>35</v>
      </c>
      <c r="E100" s="39"/>
      <c r="F100" s="47">
        <v>1</v>
      </c>
      <c r="G100" s="47"/>
      <c r="H100" s="47"/>
      <c r="I100" s="47">
        <f t="shared" si="1"/>
        <v>1</v>
      </c>
      <c r="J100" s="25" t="s">
        <v>199</v>
      </c>
    </row>
    <row r="101" spans="1:10" ht="25.5" x14ac:dyDescent="0.25">
      <c r="A101" s="110" t="s">
        <v>700</v>
      </c>
      <c r="B101" s="115" t="s">
        <v>317</v>
      </c>
      <c r="C101" s="33" t="s">
        <v>978</v>
      </c>
      <c r="D101" s="34" t="s">
        <v>35</v>
      </c>
      <c r="E101" s="39"/>
      <c r="F101" s="47">
        <v>1</v>
      </c>
      <c r="G101" s="47"/>
      <c r="H101" s="47"/>
      <c r="I101" s="47">
        <f t="shared" si="1"/>
        <v>1</v>
      </c>
      <c r="J101" s="25" t="s">
        <v>198</v>
      </c>
    </row>
    <row r="102" spans="1:10" ht="25.5" x14ac:dyDescent="0.25">
      <c r="A102" s="110" t="s">
        <v>701</v>
      </c>
      <c r="B102" s="6" t="s">
        <v>326</v>
      </c>
      <c r="C102" s="33" t="s">
        <v>979</v>
      </c>
      <c r="D102" s="34" t="s">
        <v>35</v>
      </c>
      <c r="E102" s="114"/>
      <c r="F102" s="47">
        <v>1</v>
      </c>
      <c r="G102" s="47"/>
      <c r="H102" s="47"/>
      <c r="I102" s="47">
        <f t="shared" si="1"/>
        <v>1</v>
      </c>
      <c r="J102" s="25" t="s">
        <v>197</v>
      </c>
    </row>
    <row r="103" spans="1:10" ht="25.5" x14ac:dyDescent="0.25">
      <c r="A103" s="110" t="s">
        <v>702</v>
      </c>
      <c r="B103" s="6" t="s">
        <v>963</v>
      </c>
      <c r="C103" s="8" t="s">
        <v>1282</v>
      </c>
      <c r="D103" s="24" t="s">
        <v>35</v>
      </c>
      <c r="E103" s="116"/>
      <c r="F103" s="47">
        <v>1</v>
      </c>
      <c r="G103" s="47"/>
      <c r="H103" s="47"/>
      <c r="I103" s="47">
        <f t="shared" si="1"/>
        <v>1</v>
      </c>
      <c r="J103" s="25" t="s">
        <v>1283</v>
      </c>
    </row>
    <row r="104" spans="1:10" ht="51" x14ac:dyDescent="0.25">
      <c r="A104" s="110" t="s">
        <v>703</v>
      </c>
      <c r="B104" s="23" t="s">
        <v>829</v>
      </c>
      <c r="C104" s="8" t="s">
        <v>1291</v>
      </c>
      <c r="D104" s="24" t="s">
        <v>35</v>
      </c>
      <c r="E104" s="116"/>
      <c r="F104" s="47">
        <v>7</v>
      </c>
      <c r="G104" s="47"/>
      <c r="H104" s="47"/>
      <c r="I104" s="47">
        <f t="shared" si="1"/>
        <v>7</v>
      </c>
      <c r="J104" s="25" t="s">
        <v>832</v>
      </c>
    </row>
    <row r="105" spans="1:10" ht="63.75" x14ac:dyDescent="0.25">
      <c r="A105" s="110" t="s">
        <v>704</v>
      </c>
      <c r="B105" s="23" t="s">
        <v>827</v>
      </c>
      <c r="C105" s="8" t="s">
        <v>826</v>
      </c>
      <c r="D105" s="24" t="s">
        <v>35</v>
      </c>
      <c r="E105" s="116"/>
      <c r="F105" s="47">
        <v>1</v>
      </c>
      <c r="G105" s="47"/>
      <c r="H105" s="47"/>
      <c r="I105" s="47">
        <f t="shared" si="1"/>
        <v>1</v>
      </c>
      <c r="J105" s="25" t="s">
        <v>828</v>
      </c>
    </row>
    <row r="106" spans="1:10" ht="25.5" x14ac:dyDescent="0.25">
      <c r="A106" s="110" t="s">
        <v>705</v>
      </c>
      <c r="B106" s="6" t="s">
        <v>335</v>
      </c>
      <c r="C106" s="7" t="s">
        <v>830</v>
      </c>
      <c r="D106" s="40" t="s">
        <v>35</v>
      </c>
      <c r="E106" s="51"/>
      <c r="F106" s="47">
        <v>2</v>
      </c>
      <c r="G106" s="47"/>
      <c r="H106" s="47"/>
      <c r="I106" s="47">
        <f t="shared" si="1"/>
        <v>2</v>
      </c>
      <c r="J106" s="25" t="s">
        <v>831</v>
      </c>
    </row>
    <row r="107" spans="1:10" ht="25.5" x14ac:dyDescent="0.25">
      <c r="A107" s="109" t="s">
        <v>59</v>
      </c>
      <c r="B107" s="74"/>
      <c r="C107" s="112" t="s">
        <v>825</v>
      </c>
      <c r="D107" s="101"/>
      <c r="E107" s="113"/>
      <c r="F107" s="54"/>
      <c r="G107" s="54"/>
      <c r="H107" s="54"/>
      <c r="I107" s="54"/>
      <c r="J107" s="55"/>
    </row>
    <row r="108" spans="1:10" ht="25.5" x14ac:dyDescent="0.25">
      <c r="A108" s="110" t="s">
        <v>128</v>
      </c>
      <c r="B108" s="6" t="s">
        <v>962</v>
      </c>
      <c r="C108" s="8" t="s">
        <v>336</v>
      </c>
      <c r="D108" s="24" t="s">
        <v>35</v>
      </c>
      <c r="E108" s="117"/>
      <c r="F108" s="47">
        <v>2</v>
      </c>
      <c r="G108" s="47"/>
      <c r="H108" s="47"/>
      <c r="I108" s="47">
        <f>F108</f>
        <v>2</v>
      </c>
      <c r="J108" s="25" t="s">
        <v>833</v>
      </c>
    </row>
    <row r="109" spans="1:10" ht="25.5" x14ac:dyDescent="0.25">
      <c r="A109" s="109" t="s">
        <v>60</v>
      </c>
      <c r="B109" s="74"/>
      <c r="C109" s="112" t="s">
        <v>718</v>
      </c>
      <c r="D109" s="101"/>
      <c r="E109" s="113"/>
      <c r="F109" s="54"/>
      <c r="G109" s="54"/>
      <c r="H109" s="54"/>
      <c r="I109" s="54"/>
      <c r="J109" s="55"/>
    </row>
    <row r="110" spans="1:10" ht="25.5" x14ac:dyDescent="0.25">
      <c r="A110" s="110" t="s">
        <v>129</v>
      </c>
      <c r="B110" s="6" t="s">
        <v>309</v>
      </c>
      <c r="C110" s="8" t="s">
        <v>164</v>
      </c>
      <c r="D110" s="24" t="s">
        <v>30</v>
      </c>
      <c r="E110" s="97"/>
      <c r="F110" s="49">
        <v>10</v>
      </c>
      <c r="G110" s="49">
        <v>4</v>
      </c>
      <c r="H110" s="49">
        <v>0.35</v>
      </c>
      <c r="I110" s="39">
        <f>F110*G110*H110</f>
        <v>14</v>
      </c>
      <c r="J110" s="35" t="s">
        <v>43</v>
      </c>
    </row>
    <row r="111" spans="1:10" ht="25.5" x14ac:dyDescent="0.25">
      <c r="A111" s="110" t="s">
        <v>130</v>
      </c>
      <c r="B111" s="6" t="s">
        <v>39</v>
      </c>
      <c r="C111" s="33" t="s">
        <v>38</v>
      </c>
      <c r="D111" s="34" t="s">
        <v>30</v>
      </c>
      <c r="E111" s="97"/>
      <c r="F111" s="49">
        <v>0.05</v>
      </c>
      <c r="G111" s="49">
        <v>4</v>
      </c>
      <c r="H111" s="49">
        <v>10</v>
      </c>
      <c r="I111" s="49">
        <f>F111*(G111*H111)</f>
        <v>2</v>
      </c>
      <c r="J111" s="35" t="s">
        <v>638</v>
      </c>
    </row>
    <row r="112" spans="1:10" ht="38.25" x14ac:dyDescent="0.25">
      <c r="A112" s="110" t="s">
        <v>131</v>
      </c>
      <c r="B112" s="6" t="s">
        <v>306</v>
      </c>
      <c r="C112" s="33" t="s">
        <v>40</v>
      </c>
      <c r="D112" s="34" t="s">
        <v>6</v>
      </c>
      <c r="E112" s="97">
        <v>2</v>
      </c>
      <c r="F112" s="49">
        <v>38.119999999999997</v>
      </c>
      <c r="G112" s="49"/>
      <c r="H112" s="49"/>
      <c r="I112" s="49">
        <f>E112*F112</f>
        <v>76.239999999999995</v>
      </c>
      <c r="J112" s="35" t="s">
        <v>721</v>
      </c>
    </row>
    <row r="113" spans="1:10" ht="38.25" x14ac:dyDescent="0.25">
      <c r="A113" s="110" t="s">
        <v>132</v>
      </c>
      <c r="B113" s="6" t="s">
        <v>727</v>
      </c>
      <c r="C113" s="14" t="s">
        <v>726</v>
      </c>
      <c r="D113" s="15" t="s">
        <v>487</v>
      </c>
      <c r="E113" s="49">
        <v>2</v>
      </c>
      <c r="F113" s="49">
        <v>42</v>
      </c>
      <c r="G113" s="49"/>
      <c r="H113" s="49"/>
      <c r="I113" s="49">
        <f>E113*F113</f>
        <v>84</v>
      </c>
      <c r="J113" s="35" t="s">
        <v>730</v>
      </c>
    </row>
    <row r="114" spans="1:10" ht="38.25" x14ac:dyDescent="0.25">
      <c r="A114" s="110" t="s">
        <v>741</v>
      </c>
      <c r="B114" s="6" t="s">
        <v>729</v>
      </c>
      <c r="C114" s="14" t="s">
        <v>728</v>
      </c>
      <c r="D114" s="15" t="s">
        <v>487</v>
      </c>
      <c r="E114" s="49">
        <v>2</v>
      </c>
      <c r="F114" s="49">
        <v>312</v>
      </c>
      <c r="G114" s="49"/>
      <c r="H114" s="49"/>
      <c r="I114" s="49">
        <f>E114*F114</f>
        <v>624</v>
      </c>
      <c r="J114" s="35" t="s">
        <v>730</v>
      </c>
    </row>
    <row r="115" spans="1:10" ht="25.5" x14ac:dyDescent="0.25">
      <c r="A115" s="110" t="s">
        <v>742</v>
      </c>
      <c r="B115" s="6" t="s">
        <v>725</v>
      </c>
      <c r="C115" s="14" t="s">
        <v>724</v>
      </c>
      <c r="D115" s="15" t="s">
        <v>30</v>
      </c>
      <c r="E115" s="49">
        <v>2</v>
      </c>
      <c r="F115" s="49">
        <v>4.97</v>
      </c>
      <c r="G115" s="49"/>
      <c r="H115" s="49"/>
      <c r="I115" s="49">
        <f>E115*F115</f>
        <v>9.94</v>
      </c>
      <c r="J115" s="35" t="s">
        <v>731</v>
      </c>
    </row>
    <row r="116" spans="1:10" ht="25.5" x14ac:dyDescent="0.25">
      <c r="A116" s="110" t="s">
        <v>871</v>
      </c>
      <c r="B116" s="6" t="s">
        <v>723</v>
      </c>
      <c r="C116" s="14" t="s">
        <v>722</v>
      </c>
      <c r="D116" s="15" t="s">
        <v>30</v>
      </c>
      <c r="E116" s="49">
        <v>2</v>
      </c>
      <c r="F116" s="49">
        <v>4.97</v>
      </c>
      <c r="G116" s="49"/>
      <c r="H116" s="49"/>
      <c r="I116" s="49">
        <f>E116*F116</f>
        <v>9.94</v>
      </c>
      <c r="J116" s="35" t="s">
        <v>732</v>
      </c>
    </row>
    <row r="117" spans="1:10" ht="38.25" x14ac:dyDescent="0.25">
      <c r="A117" s="109" t="s">
        <v>61</v>
      </c>
      <c r="B117" s="74"/>
      <c r="C117" s="73" t="s">
        <v>717</v>
      </c>
      <c r="D117" s="77"/>
      <c r="E117" s="78"/>
      <c r="F117" s="54"/>
      <c r="G117" s="54"/>
      <c r="H117" s="54"/>
      <c r="I117" s="54"/>
      <c r="J117" s="55"/>
    </row>
    <row r="118" spans="1:10" ht="25.5" x14ac:dyDescent="0.25">
      <c r="A118" s="110" t="s">
        <v>133</v>
      </c>
      <c r="B118" s="6" t="s">
        <v>309</v>
      </c>
      <c r="C118" s="7" t="s">
        <v>164</v>
      </c>
      <c r="D118" s="40" t="s">
        <v>30</v>
      </c>
      <c r="E118" s="49"/>
      <c r="F118" s="49">
        <v>12</v>
      </c>
      <c r="G118" s="49">
        <v>0.4</v>
      </c>
      <c r="H118" s="49">
        <v>0.6</v>
      </c>
      <c r="I118" s="39">
        <f>F118*G118*H118</f>
        <v>2.8800000000000003</v>
      </c>
      <c r="J118" s="35" t="s">
        <v>43</v>
      </c>
    </row>
    <row r="119" spans="1:10" ht="25.5" x14ac:dyDescent="0.25">
      <c r="A119" s="110" t="s">
        <v>134</v>
      </c>
      <c r="B119" s="13" t="s">
        <v>966</v>
      </c>
      <c r="C119" s="14" t="s">
        <v>33</v>
      </c>
      <c r="D119" s="15" t="s">
        <v>34</v>
      </c>
      <c r="E119" s="50"/>
      <c r="F119" s="47">
        <v>26</v>
      </c>
      <c r="G119" s="47"/>
      <c r="H119" s="47"/>
      <c r="I119" s="47">
        <f>F119</f>
        <v>26</v>
      </c>
      <c r="J119" s="25" t="s">
        <v>200</v>
      </c>
    </row>
    <row r="120" spans="1:10" ht="38.25" x14ac:dyDescent="0.25">
      <c r="A120" s="110" t="s">
        <v>135</v>
      </c>
      <c r="B120" s="13" t="s">
        <v>303</v>
      </c>
      <c r="C120" s="14" t="s">
        <v>302</v>
      </c>
      <c r="D120" s="15" t="s">
        <v>30</v>
      </c>
      <c r="E120" s="49"/>
      <c r="F120" s="49">
        <v>2.88</v>
      </c>
      <c r="G120" s="49"/>
      <c r="H120" s="49"/>
      <c r="I120" s="49">
        <f>F120</f>
        <v>2.88</v>
      </c>
      <c r="J120" s="35" t="s">
        <v>41</v>
      </c>
    </row>
    <row r="121" spans="1:10" ht="25.5" x14ac:dyDescent="0.25">
      <c r="A121" s="109" t="s">
        <v>62</v>
      </c>
      <c r="B121" s="74"/>
      <c r="C121" s="73" t="s">
        <v>733</v>
      </c>
      <c r="D121" s="77"/>
      <c r="E121" s="78"/>
      <c r="F121" s="54"/>
      <c r="G121" s="54"/>
      <c r="H121" s="54"/>
      <c r="I121" s="54"/>
      <c r="J121" s="55"/>
    </row>
    <row r="122" spans="1:10" ht="25.5" x14ac:dyDescent="0.25">
      <c r="A122" s="110" t="s">
        <v>136</v>
      </c>
      <c r="B122" s="6" t="s">
        <v>309</v>
      </c>
      <c r="C122" s="7" t="s">
        <v>164</v>
      </c>
      <c r="D122" s="40" t="s">
        <v>30</v>
      </c>
      <c r="E122" s="49"/>
      <c r="F122" s="49">
        <f>3.14*(3.1^2)</f>
        <v>30.175400000000003</v>
      </c>
      <c r="G122" s="49">
        <v>0.35</v>
      </c>
      <c r="H122" s="49"/>
      <c r="I122" s="39">
        <f>F122*G122</f>
        <v>10.561390000000001</v>
      </c>
      <c r="J122" s="35" t="s">
        <v>735</v>
      </c>
    </row>
    <row r="123" spans="1:10" ht="25.5" x14ac:dyDescent="0.25">
      <c r="A123" s="110" t="s">
        <v>141</v>
      </c>
      <c r="B123" s="6" t="s">
        <v>39</v>
      </c>
      <c r="C123" s="14" t="s">
        <v>38</v>
      </c>
      <c r="D123" s="15" t="s">
        <v>30</v>
      </c>
      <c r="E123" s="49"/>
      <c r="F123" s="49">
        <v>0.05</v>
      </c>
      <c r="G123" s="49">
        <v>30.18</v>
      </c>
      <c r="H123" s="49"/>
      <c r="I123" s="49">
        <f>F123*G123</f>
        <v>1.5090000000000001</v>
      </c>
      <c r="J123" s="35" t="s">
        <v>736</v>
      </c>
    </row>
    <row r="124" spans="1:10" ht="38.25" x14ac:dyDescent="0.25">
      <c r="A124" s="110" t="s">
        <v>184</v>
      </c>
      <c r="B124" s="6" t="s">
        <v>306</v>
      </c>
      <c r="C124" s="14" t="s">
        <v>40</v>
      </c>
      <c r="D124" s="15" t="s">
        <v>6</v>
      </c>
      <c r="E124" s="49"/>
      <c r="F124" s="49">
        <v>4.9000000000000004</v>
      </c>
      <c r="G124" s="49"/>
      <c r="H124" s="49"/>
      <c r="I124" s="49">
        <f>F124</f>
        <v>4.9000000000000004</v>
      </c>
      <c r="J124" s="35" t="s">
        <v>721</v>
      </c>
    </row>
    <row r="125" spans="1:10" ht="38.25" x14ac:dyDescent="0.25">
      <c r="A125" s="110" t="s">
        <v>339</v>
      </c>
      <c r="B125" s="6" t="s">
        <v>729</v>
      </c>
      <c r="C125" s="14" t="s">
        <v>728</v>
      </c>
      <c r="D125" s="15" t="s">
        <v>487</v>
      </c>
      <c r="E125" s="49"/>
      <c r="F125" s="49">
        <v>298</v>
      </c>
      <c r="G125" s="49"/>
      <c r="H125" s="49"/>
      <c r="I125" s="49">
        <f>F125</f>
        <v>298</v>
      </c>
      <c r="J125" s="35" t="s">
        <v>730</v>
      </c>
    </row>
    <row r="126" spans="1:10" ht="25.5" x14ac:dyDescent="0.25">
      <c r="A126" s="110" t="s">
        <v>340</v>
      </c>
      <c r="B126" s="6" t="s">
        <v>725</v>
      </c>
      <c r="C126" s="14" t="s">
        <v>724</v>
      </c>
      <c r="D126" s="15" t="s">
        <v>30</v>
      </c>
      <c r="E126" s="49"/>
      <c r="F126" s="49">
        <v>6.37</v>
      </c>
      <c r="G126" s="49"/>
      <c r="H126" s="49"/>
      <c r="I126" s="49">
        <f>F126</f>
        <v>6.37</v>
      </c>
      <c r="J126" s="35" t="s">
        <v>731</v>
      </c>
    </row>
    <row r="127" spans="1:10" ht="25.5" x14ac:dyDescent="0.25">
      <c r="A127" s="110" t="s">
        <v>743</v>
      </c>
      <c r="B127" s="6" t="s">
        <v>723</v>
      </c>
      <c r="C127" s="14" t="s">
        <v>722</v>
      </c>
      <c r="D127" s="15" t="s">
        <v>30</v>
      </c>
      <c r="E127" s="49"/>
      <c r="F127" s="49">
        <v>6.37</v>
      </c>
      <c r="G127" s="49"/>
      <c r="H127" s="49"/>
      <c r="I127" s="49">
        <f>F127</f>
        <v>6.37</v>
      </c>
      <c r="J127" s="35" t="s">
        <v>732</v>
      </c>
    </row>
    <row r="128" spans="1:10" ht="25.5" x14ac:dyDescent="0.25">
      <c r="A128" s="109" t="s">
        <v>63</v>
      </c>
      <c r="B128" s="57"/>
      <c r="C128" s="76" t="s">
        <v>737</v>
      </c>
      <c r="D128" s="77"/>
      <c r="E128" s="54"/>
      <c r="F128" s="54"/>
      <c r="G128" s="54"/>
      <c r="H128" s="54"/>
      <c r="I128" s="54"/>
      <c r="J128" s="55"/>
    </row>
    <row r="129" spans="1:10" ht="25.5" x14ac:dyDescent="0.25">
      <c r="A129" s="110" t="s">
        <v>138</v>
      </c>
      <c r="B129" s="13" t="s">
        <v>966</v>
      </c>
      <c r="C129" s="14" t="s">
        <v>33</v>
      </c>
      <c r="D129" s="15" t="s">
        <v>34</v>
      </c>
      <c r="E129" s="49">
        <v>9</v>
      </c>
      <c r="F129" s="49"/>
      <c r="G129" s="49"/>
      <c r="H129" s="49"/>
      <c r="I129" s="49">
        <f>E129</f>
        <v>9</v>
      </c>
      <c r="J129" s="35" t="s">
        <v>739</v>
      </c>
    </row>
    <row r="130" spans="1:10" ht="25.5" x14ac:dyDescent="0.25">
      <c r="A130" s="110" t="s">
        <v>139</v>
      </c>
      <c r="B130" s="13" t="s">
        <v>314</v>
      </c>
      <c r="C130" s="14" t="s">
        <v>632</v>
      </c>
      <c r="D130" s="15" t="s">
        <v>34</v>
      </c>
      <c r="E130" s="49">
        <v>5</v>
      </c>
      <c r="F130" s="49"/>
      <c r="G130" s="49"/>
      <c r="H130" s="49"/>
      <c r="I130" s="49">
        <f>E130</f>
        <v>5</v>
      </c>
      <c r="J130" s="35" t="s">
        <v>739</v>
      </c>
    </row>
    <row r="131" spans="1:10" ht="25.5" x14ac:dyDescent="0.25">
      <c r="A131" s="110" t="s">
        <v>140</v>
      </c>
      <c r="B131" s="13" t="s">
        <v>312</v>
      </c>
      <c r="C131" s="14" t="s">
        <v>738</v>
      </c>
      <c r="D131" s="15" t="s">
        <v>34</v>
      </c>
      <c r="E131" s="49">
        <v>5</v>
      </c>
      <c r="F131" s="49"/>
      <c r="G131" s="49"/>
      <c r="H131" s="49"/>
      <c r="I131" s="49">
        <f>E131</f>
        <v>5</v>
      </c>
      <c r="J131" s="35" t="s">
        <v>739</v>
      </c>
    </row>
    <row r="132" spans="1:10" ht="25.5" x14ac:dyDescent="0.25">
      <c r="A132" s="109" t="s">
        <v>744</v>
      </c>
      <c r="B132" s="74"/>
      <c r="C132" s="73" t="s">
        <v>740</v>
      </c>
      <c r="D132" s="77"/>
      <c r="E132" s="78"/>
      <c r="F132" s="54"/>
      <c r="G132" s="54"/>
      <c r="H132" s="54"/>
      <c r="I132" s="54"/>
      <c r="J132" s="55"/>
    </row>
    <row r="133" spans="1:10" ht="38.25" x14ac:dyDescent="0.25">
      <c r="A133" s="110" t="s">
        <v>862</v>
      </c>
      <c r="B133" s="6" t="s">
        <v>309</v>
      </c>
      <c r="C133" s="7" t="s">
        <v>164</v>
      </c>
      <c r="D133" s="40" t="s">
        <v>30</v>
      </c>
      <c r="E133" s="49"/>
      <c r="F133" s="49">
        <f>0.8*0.8*0.65*6</f>
        <v>2.4960000000000004</v>
      </c>
      <c r="G133" s="49">
        <f>((1.4*4+2.6*3)*0.45*0.4)</f>
        <v>2.4120000000000004</v>
      </c>
      <c r="H133" s="49"/>
      <c r="I133" s="39">
        <f>F133+G133</f>
        <v>4.9080000000000013</v>
      </c>
      <c r="J133" s="35" t="s">
        <v>746</v>
      </c>
    </row>
    <row r="134" spans="1:10" ht="25.5" x14ac:dyDescent="0.25">
      <c r="A134" s="110" t="s">
        <v>863</v>
      </c>
      <c r="B134" s="95" t="s">
        <v>39</v>
      </c>
      <c r="C134" s="33" t="s">
        <v>38</v>
      </c>
      <c r="D134" s="15" t="s">
        <v>30</v>
      </c>
      <c r="E134" s="49"/>
      <c r="F134" s="49">
        <v>0.05</v>
      </c>
      <c r="G134" s="49">
        <f>(0.8*0.8)+((1.4*4+2.6*3)*0.4)</f>
        <v>6</v>
      </c>
      <c r="H134" s="49"/>
      <c r="I134" s="49">
        <f>F134*G134</f>
        <v>0.30000000000000004</v>
      </c>
      <c r="J134" s="35" t="s">
        <v>736</v>
      </c>
    </row>
    <row r="135" spans="1:10" ht="38.25" x14ac:dyDescent="0.25">
      <c r="A135" s="110" t="s">
        <v>864</v>
      </c>
      <c r="B135" s="95" t="s">
        <v>306</v>
      </c>
      <c r="C135" s="33" t="s">
        <v>40</v>
      </c>
      <c r="D135" s="15" t="s">
        <v>6</v>
      </c>
      <c r="E135" s="49"/>
      <c r="F135" s="49">
        <v>32.9</v>
      </c>
      <c r="G135" s="49"/>
      <c r="H135" s="49"/>
      <c r="I135" s="49">
        <f t="shared" ref="I135:I141" si="2">F135</f>
        <v>32.9</v>
      </c>
      <c r="J135" s="35" t="s">
        <v>721</v>
      </c>
    </row>
    <row r="136" spans="1:10" ht="38.25" x14ac:dyDescent="0.25">
      <c r="A136" s="110" t="s">
        <v>865</v>
      </c>
      <c r="B136" s="6" t="s">
        <v>727</v>
      </c>
      <c r="C136" s="14" t="s">
        <v>726</v>
      </c>
      <c r="D136" s="15" t="s">
        <v>487</v>
      </c>
      <c r="E136" s="49"/>
      <c r="F136" s="49">
        <v>128</v>
      </c>
      <c r="G136" s="49"/>
      <c r="H136" s="49"/>
      <c r="I136" s="49">
        <f t="shared" si="2"/>
        <v>128</v>
      </c>
      <c r="J136" s="35" t="s">
        <v>730</v>
      </c>
    </row>
    <row r="137" spans="1:10" ht="38.25" x14ac:dyDescent="0.25">
      <c r="A137" s="110" t="s">
        <v>866</v>
      </c>
      <c r="B137" s="95" t="s">
        <v>729</v>
      </c>
      <c r="C137" s="14" t="s">
        <v>728</v>
      </c>
      <c r="D137" s="15" t="s">
        <v>487</v>
      </c>
      <c r="E137" s="49"/>
      <c r="F137" s="49">
        <v>336</v>
      </c>
      <c r="G137" s="49"/>
      <c r="H137" s="49"/>
      <c r="I137" s="49">
        <f t="shared" si="2"/>
        <v>336</v>
      </c>
      <c r="J137" s="35" t="s">
        <v>730</v>
      </c>
    </row>
    <row r="138" spans="1:10" ht="25.5" x14ac:dyDescent="0.25">
      <c r="A138" s="110" t="s">
        <v>867</v>
      </c>
      <c r="B138" s="118" t="s">
        <v>725</v>
      </c>
      <c r="C138" s="14" t="s">
        <v>724</v>
      </c>
      <c r="D138" s="15" t="s">
        <v>30</v>
      </c>
      <c r="E138" s="49"/>
      <c r="F138" s="49">
        <v>5</v>
      </c>
      <c r="G138" s="49"/>
      <c r="H138" s="49"/>
      <c r="I138" s="49">
        <f t="shared" si="2"/>
        <v>5</v>
      </c>
      <c r="J138" s="35" t="s">
        <v>731</v>
      </c>
    </row>
    <row r="139" spans="1:10" ht="25.5" x14ac:dyDescent="0.25">
      <c r="A139" s="110" t="s">
        <v>868</v>
      </c>
      <c r="B139" s="6" t="s">
        <v>723</v>
      </c>
      <c r="C139" s="14" t="s">
        <v>722</v>
      </c>
      <c r="D139" s="15" t="s">
        <v>30</v>
      </c>
      <c r="E139" s="49"/>
      <c r="F139" s="49">
        <v>5</v>
      </c>
      <c r="G139" s="49"/>
      <c r="H139" s="49"/>
      <c r="I139" s="49">
        <f t="shared" si="2"/>
        <v>5</v>
      </c>
      <c r="J139" s="35" t="s">
        <v>732</v>
      </c>
    </row>
    <row r="140" spans="1:10" ht="38.25" x14ac:dyDescent="0.25">
      <c r="A140" s="110" t="s">
        <v>869</v>
      </c>
      <c r="B140" s="6" t="s">
        <v>1293</v>
      </c>
      <c r="C140" s="14" t="s">
        <v>1294</v>
      </c>
      <c r="D140" s="15" t="s">
        <v>35</v>
      </c>
      <c r="E140" s="49"/>
      <c r="F140" s="49">
        <v>1</v>
      </c>
      <c r="G140" s="49"/>
      <c r="H140" s="49"/>
      <c r="I140" s="49">
        <f t="shared" si="2"/>
        <v>1</v>
      </c>
      <c r="J140" s="35" t="s">
        <v>1292</v>
      </c>
    </row>
    <row r="141" spans="1:10" ht="38.25" x14ac:dyDescent="0.25">
      <c r="A141" s="110" t="s">
        <v>870</v>
      </c>
      <c r="B141" s="6" t="s">
        <v>748</v>
      </c>
      <c r="C141" s="14" t="s">
        <v>747</v>
      </c>
      <c r="D141" s="15" t="s">
        <v>6</v>
      </c>
      <c r="E141" s="49"/>
      <c r="F141" s="49">
        <f>4*4</f>
        <v>16</v>
      </c>
      <c r="G141" s="49"/>
      <c r="H141" s="49"/>
      <c r="I141" s="49">
        <f t="shared" si="2"/>
        <v>16</v>
      </c>
      <c r="J141" s="35" t="s">
        <v>749</v>
      </c>
    </row>
    <row r="142" spans="1:10" x14ac:dyDescent="0.25">
      <c r="A142" s="109" t="s">
        <v>64</v>
      </c>
      <c r="B142" s="74"/>
      <c r="C142" s="73" t="s">
        <v>165</v>
      </c>
      <c r="D142" s="77"/>
      <c r="E142" s="78"/>
      <c r="F142" s="54"/>
      <c r="G142" s="54"/>
      <c r="H142" s="54"/>
      <c r="I142" s="54"/>
      <c r="J142" s="55"/>
    </row>
    <row r="143" spans="1:10" x14ac:dyDescent="0.25">
      <c r="A143" s="110" t="s">
        <v>202</v>
      </c>
      <c r="B143" s="13" t="s">
        <v>321</v>
      </c>
      <c r="C143" s="7" t="s">
        <v>750</v>
      </c>
      <c r="D143" s="40" t="s">
        <v>35</v>
      </c>
      <c r="E143" s="50"/>
      <c r="F143" s="47">
        <v>2</v>
      </c>
      <c r="G143" s="47"/>
      <c r="H143" s="47"/>
      <c r="I143" s="47">
        <f>F143</f>
        <v>2</v>
      </c>
      <c r="J143" s="25" t="s">
        <v>189</v>
      </c>
    </row>
    <row r="144" spans="1:10" x14ac:dyDescent="0.25">
      <c r="A144" s="110" t="s">
        <v>203</v>
      </c>
      <c r="B144" s="13" t="s">
        <v>964</v>
      </c>
      <c r="C144" s="8" t="s">
        <v>981</v>
      </c>
      <c r="D144" s="24" t="s">
        <v>35</v>
      </c>
      <c r="E144" s="117"/>
      <c r="F144" s="47">
        <v>1</v>
      </c>
      <c r="G144" s="47"/>
      <c r="H144" s="47"/>
      <c r="I144" s="47">
        <f>F144</f>
        <v>1</v>
      </c>
      <c r="J144" s="25" t="s">
        <v>190</v>
      </c>
    </row>
    <row r="145" spans="1:10" ht="25.5" x14ac:dyDescent="0.25">
      <c r="A145" s="110" t="s">
        <v>204</v>
      </c>
      <c r="B145" s="6" t="s">
        <v>309</v>
      </c>
      <c r="C145" s="8" t="s">
        <v>164</v>
      </c>
      <c r="D145" s="24" t="s">
        <v>30</v>
      </c>
      <c r="E145" s="97"/>
      <c r="F145" s="49">
        <v>10</v>
      </c>
      <c r="G145" s="49">
        <v>0.4</v>
      </c>
      <c r="H145" s="49">
        <v>0.6</v>
      </c>
      <c r="I145" s="39">
        <f>F145*G145*H145</f>
        <v>2.4</v>
      </c>
      <c r="J145" s="35" t="s">
        <v>43</v>
      </c>
    </row>
    <row r="146" spans="1:10" ht="25.5" x14ac:dyDescent="0.25">
      <c r="A146" s="110" t="s">
        <v>205</v>
      </c>
      <c r="B146" s="13" t="s">
        <v>961</v>
      </c>
      <c r="C146" s="33" t="s">
        <v>698</v>
      </c>
      <c r="D146" s="34" t="s">
        <v>34</v>
      </c>
      <c r="E146" s="117"/>
      <c r="F146" s="47">
        <v>13</v>
      </c>
      <c r="G146" s="47"/>
      <c r="H146" s="47"/>
      <c r="I146" s="47">
        <f>F146</f>
        <v>13</v>
      </c>
      <c r="J146" s="25" t="s">
        <v>201</v>
      </c>
    </row>
    <row r="147" spans="1:10" ht="25.5" x14ac:dyDescent="0.25">
      <c r="A147" s="110" t="s">
        <v>206</v>
      </c>
      <c r="B147" s="13" t="s">
        <v>312</v>
      </c>
      <c r="C147" s="33" t="s">
        <v>751</v>
      </c>
      <c r="D147" s="34" t="s">
        <v>34</v>
      </c>
      <c r="E147" s="117"/>
      <c r="F147" s="47">
        <v>22</v>
      </c>
      <c r="G147" s="47"/>
      <c r="H147" s="47"/>
      <c r="I147" s="47">
        <f>F147</f>
        <v>22</v>
      </c>
      <c r="J147" s="25" t="s">
        <v>201</v>
      </c>
    </row>
    <row r="148" spans="1:10" ht="38.25" x14ac:dyDescent="0.25">
      <c r="A148" s="110" t="s">
        <v>207</v>
      </c>
      <c r="B148" s="13" t="s">
        <v>303</v>
      </c>
      <c r="C148" s="33" t="s">
        <v>302</v>
      </c>
      <c r="D148" s="34" t="s">
        <v>30</v>
      </c>
      <c r="E148" s="97"/>
      <c r="F148" s="49">
        <v>2.4</v>
      </c>
      <c r="G148" s="49"/>
      <c r="H148" s="49"/>
      <c r="I148" s="49">
        <f>F148</f>
        <v>2.4</v>
      </c>
      <c r="J148" s="35" t="s">
        <v>41</v>
      </c>
    </row>
    <row r="149" spans="1:10" ht="25.5" x14ac:dyDescent="0.25">
      <c r="A149" s="109" t="s">
        <v>745</v>
      </c>
      <c r="B149" s="74"/>
      <c r="C149" s="112" t="s">
        <v>752</v>
      </c>
      <c r="D149" s="101"/>
      <c r="E149" s="113"/>
      <c r="F149" s="54"/>
      <c r="G149" s="54"/>
      <c r="H149" s="54"/>
      <c r="I149" s="54"/>
      <c r="J149" s="55"/>
    </row>
    <row r="150" spans="1:10" ht="38.25" x14ac:dyDescent="0.25">
      <c r="A150" s="110" t="s">
        <v>753</v>
      </c>
      <c r="B150" s="6" t="s">
        <v>309</v>
      </c>
      <c r="C150" s="7" t="s">
        <v>164</v>
      </c>
      <c r="D150" s="40" t="s">
        <v>30</v>
      </c>
      <c r="E150" s="49"/>
      <c r="F150" s="49">
        <f>0.8*0.8*0.65*6</f>
        <v>2.4960000000000004</v>
      </c>
      <c r="G150" s="49">
        <f>((1.4*4+2.6*3)*0.45*0.4)</f>
        <v>2.4120000000000004</v>
      </c>
      <c r="H150" s="49"/>
      <c r="I150" s="39">
        <f>F150+G150</f>
        <v>4.9080000000000013</v>
      </c>
      <c r="J150" s="35" t="s">
        <v>746</v>
      </c>
    </row>
    <row r="151" spans="1:10" ht="25.5" x14ac:dyDescent="0.25">
      <c r="A151" s="110" t="s">
        <v>754</v>
      </c>
      <c r="B151" s="6" t="s">
        <v>39</v>
      </c>
      <c r="C151" s="14" t="s">
        <v>38</v>
      </c>
      <c r="D151" s="15" t="s">
        <v>30</v>
      </c>
      <c r="E151" s="49"/>
      <c r="F151" s="49">
        <v>0.05</v>
      </c>
      <c r="G151" s="49">
        <f>(0.8*0.8)+((1.4*4+2.6*3)*0.4)</f>
        <v>6</v>
      </c>
      <c r="H151" s="49"/>
      <c r="I151" s="49">
        <f>F151*G151</f>
        <v>0.30000000000000004</v>
      </c>
      <c r="J151" s="35" t="s">
        <v>736</v>
      </c>
    </row>
    <row r="152" spans="1:10" ht="38.25" x14ac:dyDescent="0.25">
      <c r="A152" s="110" t="s">
        <v>755</v>
      </c>
      <c r="B152" s="6" t="s">
        <v>306</v>
      </c>
      <c r="C152" s="14" t="s">
        <v>40</v>
      </c>
      <c r="D152" s="15" t="s">
        <v>6</v>
      </c>
      <c r="E152" s="49"/>
      <c r="F152" s="49">
        <v>32.9</v>
      </c>
      <c r="G152" s="49"/>
      <c r="H152" s="49"/>
      <c r="I152" s="49">
        <f t="shared" ref="I152:I158" si="3">F152</f>
        <v>32.9</v>
      </c>
      <c r="J152" s="35" t="s">
        <v>721</v>
      </c>
    </row>
    <row r="153" spans="1:10" ht="38.25" x14ac:dyDescent="0.25">
      <c r="A153" s="110" t="s">
        <v>756</v>
      </c>
      <c r="B153" s="6" t="s">
        <v>727</v>
      </c>
      <c r="C153" s="14" t="s">
        <v>726</v>
      </c>
      <c r="D153" s="15" t="s">
        <v>487</v>
      </c>
      <c r="E153" s="49"/>
      <c r="F153" s="49">
        <v>128</v>
      </c>
      <c r="G153" s="49"/>
      <c r="H153" s="49"/>
      <c r="I153" s="49">
        <f t="shared" si="3"/>
        <v>128</v>
      </c>
      <c r="J153" s="35" t="s">
        <v>730</v>
      </c>
    </row>
    <row r="154" spans="1:10" ht="38.25" x14ac:dyDescent="0.25">
      <c r="A154" s="110" t="s">
        <v>757</v>
      </c>
      <c r="B154" s="6" t="s">
        <v>729</v>
      </c>
      <c r="C154" s="14" t="s">
        <v>728</v>
      </c>
      <c r="D154" s="15" t="s">
        <v>487</v>
      </c>
      <c r="E154" s="49"/>
      <c r="F154" s="49">
        <v>336</v>
      </c>
      <c r="G154" s="49"/>
      <c r="H154" s="49"/>
      <c r="I154" s="49">
        <f t="shared" si="3"/>
        <v>336</v>
      </c>
      <c r="J154" s="35" t="s">
        <v>730</v>
      </c>
    </row>
    <row r="155" spans="1:10" ht="25.5" x14ac:dyDescent="0.25">
      <c r="A155" s="110" t="s">
        <v>758</v>
      </c>
      <c r="B155" s="6" t="s">
        <v>725</v>
      </c>
      <c r="C155" s="33" t="s">
        <v>724</v>
      </c>
      <c r="D155" s="34" t="s">
        <v>30</v>
      </c>
      <c r="E155" s="97"/>
      <c r="F155" s="49">
        <v>5</v>
      </c>
      <c r="G155" s="49"/>
      <c r="H155" s="49"/>
      <c r="I155" s="49">
        <f t="shared" si="3"/>
        <v>5</v>
      </c>
      <c r="J155" s="35" t="s">
        <v>731</v>
      </c>
    </row>
    <row r="156" spans="1:10" ht="25.5" x14ac:dyDescent="0.25">
      <c r="A156" s="110" t="s">
        <v>759</v>
      </c>
      <c r="B156" s="6" t="s">
        <v>723</v>
      </c>
      <c r="C156" s="33" t="s">
        <v>722</v>
      </c>
      <c r="D156" s="34" t="s">
        <v>30</v>
      </c>
      <c r="E156" s="97"/>
      <c r="F156" s="49">
        <v>5</v>
      </c>
      <c r="G156" s="49"/>
      <c r="H156" s="49"/>
      <c r="I156" s="49">
        <f t="shared" si="3"/>
        <v>5</v>
      </c>
      <c r="J156" s="35" t="s">
        <v>732</v>
      </c>
    </row>
    <row r="157" spans="1:10" ht="38.25" x14ac:dyDescent="0.25">
      <c r="A157" s="110" t="s">
        <v>760</v>
      </c>
      <c r="B157" s="6" t="s">
        <v>1293</v>
      </c>
      <c r="C157" s="33" t="s">
        <v>1294</v>
      </c>
      <c r="D157" s="34" t="s">
        <v>35</v>
      </c>
      <c r="E157" s="97"/>
      <c r="F157" s="49">
        <v>1</v>
      </c>
      <c r="G157" s="49"/>
      <c r="H157" s="49"/>
      <c r="I157" s="49">
        <f t="shared" si="3"/>
        <v>1</v>
      </c>
      <c r="J157" s="35" t="s">
        <v>1292</v>
      </c>
    </row>
    <row r="158" spans="1:10" ht="38.25" x14ac:dyDescent="0.25">
      <c r="A158" s="110" t="s">
        <v>761</v>
      </c>
      <c r="B158" s="6" t="s">
        <v>748</v>
      </c>
      <c r="C158" s="33" t="s">
        <v>747</v>
      </c>
      <c r="D158" s="34" t="s">
        <v>6</v>
      </c>
      <c r="E158" s="97"/>
      <c r="F158" s="49">
        <f>4*4</f>
        <v>16</v>
      </c>
      <c r="G158" s="49"/>
      <c r="H158" s="49"/>
      <c r="I158" s="49">
        <f t="shared" si="3"/>
        <v>16</v>
      </c>
      <c r="J158" s="35" t="s">
        <v>749</v>
      </c>
    </row>
    <row r="159" spans="1:10" x14ac:dyDescent="0.25">
      <c r="A159" s="109" t="s">
        <v>762</v>
      </c>
      <c r="B159" s="74"/>
      <c r="C159" s="73" t="s">
        <v>166</v>
      </c>
      <c r="D159" s="77"/>
      <c r="E159" s="78"/>
      <c r="F159" s="54"/>
      <c r="G159" s="54"/>
      <c r="H159" s="54"/>
      <c r="I159" s="54"/>
      <c r="J159" s="55"/>
    </row>
    <row r="160" spans="1:10" x14ac:dyDescent="0.25">
      <c r="A160" s="110" t="s">
        <v>772</v>
      </c>
      <c r="B160" s="6" t="s">
        <v>320</v>
      </c>
      <c r="C160" s="7" t="s">
        <v>630</v>
      </c>
      <c r="D160" s="40" t="s">
        <v>35</v>
      </c>
      <c r="E160" s="50"/>
      <c r="F160" s="47">
        <v>2</v>
      </c>
      <c r="G160" s="47"/>
      <c r="H160" s="47"/>
      <c r="I160" s="47">
        <f>F160</f>
        <v>2</v>
      </c>
      <c r="J160" s="25" t="s">
        <v>189</v>
      </c>
    </row>
    <row r="161" spans="1:10" ht="25.5" x14ac:dyDescent="0.25">
      <c r="A161" s="110" t="s">
        <v>773</v>
      </c>
      <c r="B161" s="6" t="s">
        <v>1281</v>
      </c>
      <c r="C161" s="7" t="s">
        <v>980</v>
      </c>
      <c r="D161" s="40" t="s">
        <v>35</v>
      </c>
      <c r="E161" s="50"/>
      <c r="F161" s="47">
        <v>1</v>
      </c>
      <c r="G161" s="47"/>
      <c r="H161" s="47"/>
      <c r="I161" s="47">
        <f>F161</f>
        <v>1</v>
      </c>
      <c r="J161" s="25" t="s">
        <v>190</v>
      </c>
    </row>
    <row r="162" spans="1:10" ht="25.5" x14ac:dyDescent="0.25">
      <c r="A162" s="110" t="s">
        <v>872</v>
      </c>
      <c r="B162" s="6" t="s">
        <v>309</v>
      </c>
      <c r="C162" s="7" t="s">
        <v>164</v>
      </c>
      <c r="D162" s="40" t="s">
        <v>30</v>
      </c>
      <c r="E162" s="49"/>
      <c r="F162" s="49">
        <v>10</v>
      </c>
      <c r="G162" s="49">
        <v>0.4</v>
      </c>
      <c r="H162" s="49">
        <v>0.6</v>
      </c>
      <c r="I162" s="39">
        <f>F162*G162*H162</f>
        <v>2.4</v>
      </c>
      <c r="J162" s="35" t="s">
        <v>43</v>
      </c>
    </row>
    <row r="163" spans="1:10" ht="25.5" x14ac:dyDescent="0.25">
      <c r="A163" s="110" t="s">
        <v>873</v>
      </c>
      <c r="B163" s="13" t="s">
        <v>314</v>
      </c>
      <c r="C163" s="58" t="s">
        <v>632</v>
      </c>
      <c r="D163" s="15" t="s">
        <v>35</v>
      </c>
      <c r="E163" s="49"/>
      <c r="F163" s="49">
        <v>28</v>
      </c>
      <c r="G163" s="49"/>
      <c r="H163" s="49"/>
      <c r="I163" s="49">
        <f>F163</f>
        <v>28</v>
      </c>
      <c r="J163" s="35" t="s">
        <v>774</v>
      </c>
    </row>
    <row r="164" spans="1:10" ht="38.25" x14ac:dyDescent="0.25">
      <c r="A164" s="110" t="s">
        <v>874</v>
      </c>
      <c r="B164" s="13" t="s">
        <v>303</v>
      </c>
      <c r="C164" s="14" t="s">
        <v>302</v>
      </c>
      <c r="D164" s="15" t="s">
        <v>30</v>
      </c>
      <c r="E164" s="49"/>
      <c r="F164" s="49">
        <v>2.4</v>
      </c>
      <c r="G164" s="49"/>
      <c r="H164" s="49"/>
      <c r="I164" s="49">
        <f>F164</f>
        <v>2.4</v>
      </c>
      <c r="J164" s="35" t="s">
        <v>41</v>
      </c>
    </row>
    <row r="165" spans="1:10" x14ac:dyDescent="0.25">
      <c r="A165" s="109" t="s">
        <v>853</v>
      </c>
      <c r="B165" s="74"/>
      <c r="C165" s="73" t="s">
        <v>764</v>
      </c>
      <c r="D165" s="77"/>
      <c r="E165" s="78"/>
      <c r="F165" s="54"/>
      <c r="G165" s="54"/>
      <c r="H165" s="54"/>
      <c r="I165" s="54"/>
      <c r="J165" s="55"/>
    </row>
    <row r="166" spans="1:10" ht="38.25" x14ac:dyDescent="0.25">
      <c r="A166" s="110" t="s">
        <v>854</v>
      </c>
      <c r="B166" s="6" t="s">
        <v>1317</v>
      </c>
      <c r="C166" s="7" t="s">
        <v>1316</v>
      </c>
      <c r="D166" s="40" t="s">
        <v>30</v>
      </c>
      <c r="E166" s="49"/>
      <c r="F166" s="49">
        <v>1</v>
      </c>
      <c r="G166" s="49">
        <v>17.5</v>
      </c>
      <c r="H166" s="49">
        <v>23.2</v>
      </c>
      <c r="I166" s="39">
        <f>F166*G166*H166</f>
        <v>406</v>
      </c>
      <c r="J166" s="35" t="s">
        <v>765</v>
      </c>
    </row>
    <row r="167" spans="1:10" ht="51" x14ac:dyDescent="0.25">
      <c r="A167" s="110" t="s">
        <v>855</v>
      </c>
      <c r="B167" s="6" t="s">
        <v>668</v>
      </c>
      <c r="C167" s="14" t="s">
        <v>669</v>
      </c>
      <c r="D167" s="15" t="s">
        <v>30</v>
      </c>
      <c r="E167" s="49"/>
      <c r="F167" s="49">
        <v>1.05</v>
      </c>
      <c r="G167" s="49">
        <v>17.5</v>
      </c>
      <c r="H167" s="49">
        <v>23.2</v>
      </c>
      <c r="I167" s="39">
        <f>F167*G167*H167</f>
        <v>426.3</v>
      </c>
      <c r="J167" s="35" t="s">
        <v>765</v>
      </c>
    </row>
    <row r="168" spans="1:10" ht="38.25" x14ac:dyDescent="0.25">
      <c r="A168" s="110" t="s">
        <v>856</v>
      </c>
      <c r="B168" s="6" t="s">
        <v>670</v>
      </c>
      <c r="C168" s="14" t="s">
        <v>671</v>
      </c>
      <c r="D168" s="15" t="s">
        <v>30</v>
      </c>
      <c r="E168" s="49"/>
      <c r="F168" s="49">
        <v>426.3</v>
      </c>
      <c r="G168" s="49">
        <v>1.25</v>
      </c>
      <c r="H168" s="49"/>
      <c r="I168" s="49">
        <f>F168*G168</f>
        <v>532.875</v>
      </c>
      <c r="J168" s="35" t="s">
        <v>672</v>
      </c>
    </row>
    <row r="169" spans="1:10" ht="25.5" x14ac:dyDescent="0.25">
      <c r="A169" s="110" t="s">
        <v>857</v>
      </c>
      <c r="B169" s="6" t="s">
        <v>39</v>
      </c>
      <c r="C169" s="14" t="s">
        <v>38</v>
      </c>
      <c r="D169" s="15" t="s">
        <v>30</v>
      </c>
      <c r="E169" s="49"/>
      <c r="F169" s="49">
        <v>0.05</v>
      </c>
      <c r="G169" s="49">
        <f>15.5*21.5</f>
        <v>333.25</v>
      </c>
      <c r="H169" s="49"/>
      <c r="I169" s="49">
        <f>F169*G169</f>
        <v>16.662500000000001</v>
      </c>
      <c r="J169" s="35" t="s">
        <v>956</v>
      </c>
    </row>
    <row r="170" spans="1:10" ht="38.25" x14ac:dyDescent="0.25">
      <c r="A170" s="110" t="s">
        <v>858</v>
      </c>
      <c r="B170" s="6" t="s">
        <v>306</v>
      </c>
      <c r="C170" s="14" t="s">
        <v>40</v>
      </c>
      <c r="D170" s="15" t="s">
        <v>6</v>
      </c>
      <c r="E170" s="49"/>
      <c r="F170" s="49">
        <v>571</v>
      </c>
      <c r="G170" s="49"/>
      <c r="H170" s="49"/>
      <c r="I170" s="49">
        <f t="shared" ref="I170:I175" si="4">F170</f>
        <v>571</v>
      </c>
      <c r="J170" s="35" t="s">
        <v>951</v>
      </c>
    </row>
    <row r="171" spans="1:10" ht="38.25" x14ac:dyDescent="0.25">
      <c r="A171" s="110" t="s">
        <v>875</v>
      </c>
      <c r="B171" s="6" t="s">
        <v>727</v>
      </c>
      <c r="C171" s="33" t="s">
        <v>726</v>
      </c>
      <c r="D171" s="34" t="s">
        <v>487</v>
      </c>
      <c r="E171" s="49"/>
      <c r="F171" s="49">
        <v>386</v>
      </c>
      <c r="G171" s="49"/>
      <c r="H171" s="49"/>
      <c r="I171" s="49">
        <f t="shared" si="4"/>
        <v>386</v>
      </c>
      <c r="J171" s="35" t="s">
        <v>777</v>
      </c>
    </row>
    <row r="172" spans="1:10" ht="38.25" x14ac:dyDescent="0.25">
      <c r="A172" s="110" t="s">
        <v>876</v>
      </c>
      <c r="B172" s="6" t="s">
        <v>729</v>
      </c>
      <c r="C172" s="33" t="s">
        <v>728</v>
      </c>
      <c r="D172" s="34" t="s">
        <v>487</v>
      </c>
      <c r="E172" s="49"/>
      <c r="F172" s="49">
        <v>3875</v>
      </c>
      <c r="G172" s="49"/>
      <c r="H172" s="49"/>
      <c r="I172" s="49">
        <f t="shared" si="4"/>
        <v>3875</v>
      </c>
      <c r="J172" s="35" t="s">
        <v>777</v>
      </c>
    </row>
    <row r="173" spans="1:10" ht="25.5" x14ac:dyDescent="0.25">
      <c r="A173" s="110" t="s">
        <v>877</v>
      </c>
      <c r="B173" s="6" t="s">
        <v>725</v>
      </c>
      <c r="C173" s="33" t="s">
        <v>724</v>
      </c>
      <c r="D173" s="34" t="s">
        <v>30</v>
      </c>
      <c r="E173" s="49"/>
      <c r="F173" s="49">
        <v>91</v>
      </c>
      <c r="G173" s="49"/>
      <c r="H173" s="49"/>
      <c r="I173" s="49">
        <f t="shared" si="4"/>
        <v>91</v>
      </c>
      <c r="J173" s="35" t="s">
        <v>952</v>
      </c>
    </row>
    <row r="174" spans="1:10" ht="25.5" x14ac:dyDescent="0.25">
      <c r="A174" s="110" t="s">
        <v>878</v>
      </c>
      <c r="B174" s="6" t="s">
        <v>723</v>
      </c>
      <c r="C174" s="33" t="s">
        <v>722</v>
      </c>
      <c r="D174" s="34" t="s">
        <v>30</v>
      </c>
      <c r="E174" s="49"/>
      <c r="F174" s="49">
        <v>91</v>
      </c>
      <c r="G174" s="49"/>
      <c r="H174" s="49"/>
      <c r="I174" s="49">
        <f t="shared" si="4"/>
        <v>91</v>
      </c>
      <c r="J174" s="35" t="s">
        <v>779</v>
      </c>
    </row>
    <row r="175" spans="1:10" ht="38.25" x14ac:dyDescent="0.25">
      <c r="A175" s="110" t="s">
        <v>879</v>
      </c>
      <c r="B175" s="6" t="s">
        <v>972</v>
      </c>
      <c r="C175" s="14" t="s">
        <v>971</v>
      </c>
      <c r="D175" s="15" t="s">
        <v>6</v>
      </c>
      <c r="E175" s="49"/>
      <c r="F175" s="49">
        <f>69.4+8.4</f>
        <v>77.800000000000011</v>
      </c>
      <c r="G175" s="49"/>
      <c r="H175" s="49"/>
      <c r="I175" s="49">
        <f t="shared" si="4"/>
        <v>77.800000000000011</v>
      </c>
      <c r="J175" s="35" t="s">
        <v>953</v>
      </c>
    </row>
    <row r="176" spans="1:10" ht="25.5" x14ac:dyDescent="0.25">
      <c r="A176" s="110" t="s">
        <v>880</v>
      </c>
      <c r="B176" s="6" t="s">
        <v>769</v>
      </c>
      <c r="C176" s="14" t="s">
        <v>768</v>
      </c>
      <c r="D176" s="15" t="s">
        <v>6</v>
      </c>
      <c r="E176" s="49">
        <v>2</v>
      </c>
      <c r="F176" s="49">
        <f>2*(21.02*1.74)</f>
        <v>73.149599999999992</v>
      </c>
      <c r="G176" s="49">
        <f>4*(13.54*1.74)</f>
        <v>94.238399999999999</v>
      </c>
      <c r="H176" s="49">
        <f>(1.24*1.74*6)+(1.9*1.74*3)</f>
        <v>22.863599999999998</v>
      </c>
      <c r="I176" s="49">
        <f>E176*SUM(F176:H176)</f>
        <v>380.50319999999994</v>
      </c>
      <c r="J176" s="35" t="s">
        <v>954</v>
      </c>
    </row>
    <row r="177" spans="1:10" ht="38.25" x14ac:dyDescent="0.25">
      <c r="A177" s="110" t="s">
        <v>881</v>
      </c>
      <c r="B177" s="6" t="s">
        <v>767</v>
      </c>
      <c r="C177" s="14" t="s">
        <v>766</v>
      </c>
      <c r="D177" s="15" t="s">
        <v>6</v>
      </c>
      <c r="E177" s="49"/>
      <c r="F177" s="49">
        <v>380.5</v>
      </c>
      <c r="G177" s="49"/>
      <c r="H177" s="49"/>
      <c r="I177" s="49">
        <f>F177</f>
        <v>380.5</v>
      </c>
      <c r="J177" s="35" t="s">
        <v>955</v>
      </c>
    </row>
    <row r="178" spans="1:10" ht="51" x14ac:dyDescent="0.25">
      <c r="A178" s="110" t="s">
        <v>882</v>
      </c>
      <c r="B178" s="6" t="s">
        <v>673</v>
      </c>
      <c r="C178" s="14" t="s">
        <v>674</v>
      </c>
      <c r="D178" s="15" t="s">
        <v>30</v>
      </c>
      <c r="E178" s="49"/>
      <c r="F178" s="49">
        <v>832.3</v>
      </c>
      <c r="G178" s="49">
        <f>294.6*2.05</f>
        <v>603.92999999999995</v>
      </c>
      <c r="H178" s="49"/>
      <c r="I178" s="49">
        <f>F178-G178</f>
        <v>228.37</v>
      </c>
      <c r="J178" s="35" t="s">
        <v>771</v>
      </c>
    </row>
    <row r="179" spans="1:10" ht="25.5" x14ac:dyDescent="0.25">
      <c r="A179" s="110" t="s">
        <v>1287</v>
      </c>
      <c r="B179" s="6" t="s">
        <v>1288</v>
      </c>
      <c r="C179" s="14" t="s">
        <v>1289</v>
      </c>
      <c r="D179" s="15" t="s">
        <v>35</v>
      </c>
      <c r="E179" s="49"/>
      <c r="F179" s="49">
        <v>3</v>
      </c>
      <c r="G179" s="49"/>
      <c r="H179" s="49"/>
      <c r="I179" s="49">
        <f>F179</f>
        <v>3</v>
      </c>
      <c r="J179" s="35" t="s">
        <v>1290</v>
      </c>
    </row>
    <row r="180" spans="1:10" ht="25.5" x14ac:dyDescent="0.25">
      <c r="A180" s="109" t="s">
        <v>859</v>
      </c>
      <c r="B180" s="74"/>
      <c r="C180" s="112" t="s">
        <v>342</v>
      </c>
      <c r="D180" s="101"/>
      <c r="E180" s="78"/>
      <c r="F180" s="54"/>
      <c r="G180" s="54"/>
      <c r="H180" s="54"/>
      <c r="I180" s="54"/>
      <c r="J180" s="55"/>
    </row>
    <row r="181" spans="1:10" ht="25.5" x14ac:dyDescent="0.25">
      <c r="A181" s="110" t="s">
        <v>860</v>
      </c>
      <c r="B181" s="13" t="s">
        <v>966</v>
      </c>
      <c r="C181" s="14" t="s">
        <v>33</v>
      </c>
      <c r="D181" s="15" t="s">
        <v>34</v>
      </c>
      <c r="E181" s="50"/>
      <c r="F181" s="47">
        <v>42</v>
      </c>
      <c r="G181" s="47"/>
      <c r="H181" s="47"/>
      <c r="I181" s="47">
        <f>F181</f>
        <v>42</v>
      </c>
      <c r="J181" s="25" t="s">
        <v>774</v>
      </c>
    </row>
    <row r="182" spans="1:10" ht="25.5" x14ac:dyDescent="0.25">
      <c r="A182" s="110" t="s">
        <v>861</v>
      </c>
      <c r="B182" s="13" t="s">
        <v>314</v>
      </c>
      <c r="C182" s="14" t="s">
        <v>632</v>
      </c>
      <c r="D182" s="15" t="s">
        <v>34</v>
      </c>
      <c r="E182" s="50"/>
      <c r="F182" s="47">
        <v>13</v>
      </c>
      <c r="G182" s="47"/>
      <c r="H182" s="47"/>
      <c r="I182" s="47">
        <f>F182</f>
        <v>13</v>
      </c>
      <c r="J182" s="25" t="s">
        <v>774</v>
      </c>
    </row>
    <row r="183" spans="1:10" x14ac:dyDescent="0.25">
      <c r="A183" s="109" t="s">
        <v>883</v>
      </c>
      <c r="B183" s="74"/>
      <c r="C183" s="76" t="s">
        <v>892</v>
      </c>
      <c r="D183" s="77"/>
      <c r="E183" s="54"/>
      <c r="F183" s="54"/>
      <c r="G183" s="54"/>
      <c r="H183" s="54"/>
      <c r="I183" s="78"/>
      <c r="J183" s="55"/>
    </row>
    <row r="184" spans="1:10" ht="25.5" x14ac:dyDescent="0.25">
      <c r="A184" s="110" t="s">
        <v>884</v>
      </c>
      <c r="B184" s="6" t="s">
        <v>309</v>
      </c>
      <c r="C184" s="7" t="s">
        <v>164</v>
      </c>
      <c r="D184" s="40" t="s">
        <v>30</v>
      </c>
      <c r="E184" s="49"/>
      <c r="F184" s="49">
        <f>3+11.4+6.3+8.7+7.6+2.2</f>
        <v>39.200000000000003</v>
      </c>
      <c r="G184" s="49">
        <v>0.4</v>
      </c>
      <c r="H184" s="49">
        <v>0.5</v>
      </c>
      <c r="I184" s="39">
        <f>F184*G184*H184</f>
        <v>7.8400000000000007</v>
      </c>
      <c r="J184" s="35" t="s">
        <v>43</v>
      </c>
    </row>
    <row r="185" spans="1:10" ht="25.5" x14ac:dyDescent="0.25">
      <c r="A185" s="110" t="s">
        <v>885</v>
      </c>
      <c r="B185" s="6" t="s">
        <v>1285</v>
      </c>
      <c r="C185" s="33" t="s">
        <v>667</v>
      </c>
      <c r="D185" s="34" t="s">
        <v>37</v>
      </c>
      <c r="E185" s="117"/>
      <c r="F185" s="47">
        <v>39.200000000000003</v>
      </c>
      <c r="G185" s="47"/>
      <c r="H185" s="47"/>
      <c r="I185" s="47">
        <f>F185</f>
        <v>39.200000000000003</v>
      </c>
      <c r="J185" s="25" t="s">
        <v>42</v>
      </c>
    </row>
    <row r="186" spans="1:10" ht="38.25" x14ac:dyDescent="0.25">
      <c r="A186" s="110" t="s">
        <v>886</v>
      </c>
      <c r="B186" s="13" t="s">
        <v>303</v>
      </c>
      <c r="C186" s="33" t="s">
        <v>302</v>
      </c>
      <c r="D186" s="34" t="s">
        <v>30</v>
      </c>
      <c r="E186" s="97"/>
      <c r="F186" s="49">
        <v>7.84</v>
      </c>
      <c r="G186" s="49"/>
      <c r="H186" s="49"/>
      <c r="I186" s="49">
        <f>F186</f>
        <v>7.84</v>
      </c>
      <c r="J186" s="35" t="s">
        <v>891</v>
      </c>
    </row>
    <row r="187" spans="1:10" ht="63.75" x14ac:dyDescent="0.25">
      <c r="A187" s="110" t="s">
        <v>893</v>
      </c>
      <c r="B187" s="6" t="s">
        <v>889</v>
      </c>
      <c r="C187" s="33" t="s">
        <v>888</v>
      </c>
      <c r="D187" s="34" t="s">
        <v>35</v>
      </c>
      <c r="E187" s="97"/>
      <c r="F187" s="49">
        <v>4</v>
      </c>
      <c r="G187" s="49"/>
      <c r="H187" s="49"/>
      <c r="I187" s="49">
        <f>F187</f>
        <v>4</v>
      </c>
      <c r="J187" s="35" t="s">
        <v>890</v>
      </c>
    </row>
    <row r="188" spans="1:10" ht="25.5" x14ac:dyDescent="0.25">
      <c r="A188" s="110" t="s">
        <v>894</v>
      </c>
      <c r="B188" s="6" t="s">
        <v>965</v>
      </c>
      <c r="C188" s="33" t="s">
        <v>887</v>
      </c>
      <c r="D188" s="34" t="s">
        <v>35</v>
      </c>
      <c r="E188" s="97"/>
      <c r="F188" s="49">
        <v>4</v>
      </c>
      <c r="G188" s="49"/>
      <c r="H188" s="49"/>
      <c r="I188" s="49">
        <f>F188</f>
        <v>4</v>
      </c>
      <c r="J188" s="35" t="s">
        <v>890</v>
      </c>
    </row>
    <row r="189" spans="1:10" x14ac:dyDescent="0.25">
      <c r="A189" s="109" t="s">
        <v>895</v>
      </c>
      <c r="B189" s="74"/>
      <c r="C189" s="100" t="s">
        <v>172</v>
      </c>
      <c r="D189" s="101"/>
      <c r="E189" s="113"/>
      <c r="F189" s="54"/>
      <c r="G189" s="54"/>
      <c r="H189" s="54"/>
      <c r="I189" s="54"/>
      <c r="J189" s="55"/>
    </row>
    <row r="190" spans="1:10" ht="51" x14ac:dyDescent="0.25">
      <c r="A190" s="110" t="s">
        <v>896</v>
      </c>
      <c r="B190" s="6" t="s">
        <v>309</v>
      </c>
      <c r="C190" s="8" t="s">
        <v>164</v>
      </c>
      <c r="D190" s="24" t="s">
        <v>30</v>
      </c>
      <c r="E190" s="97"/>
      <c r="F190" s="49">
        <v>70</v>
      </c>
      <c r="G190" s="49">
        <v>0.6</v>
      </c>
      <c r="H190" s="49">
        <v>0.4</v>
      </c>
      <c r="I190" s="49">
        <f>F190*G190*H190</f>
        <v>16.8</v>
      </c>
      <c r="J190" s="35" t="s">
        <v>341</v>
      </c>
    </row>
    <row r="191" spans="1:10" ht="38.25" x14ac:dyDescent="0.25">
      <c r="A191" s="110" t="s">
        <v>897</v>
      </c>
      <c r="B191" s="13" t="s">
        <v>303</v>
      </c>
      <c r="C191" s="14" t="s">
        <v>302</v>
      </c>
      <c r="D191" s="15" t="s">
        <v>30</v>
      </c>
      <c r="E191" s="49"/>
      <c r="F191" s="49">
        <v>16.8</v>
      </c>
      <c r="G191" s="49"/>
      <c r="H191" s="49"/>
      <c r="I191" s="49">
        <f>F191</f>
        <v>16.8</v>
      </c>
      <c r="J191" s="35" t="s">
        <v>338</v>
      </c>
    </row>
    <row r="192" spans="1:10" ht="25.5" x14ac:dyDescent="0.25">
      <c r="A192" s="110" t="s">
        <v>898</v>
      </c>
      <c r="B192" s="6" t="s">
        <v>322</v>
      </c>
      <c r="C192" s="14" t="s">
        <v>171</v>
      </c>
      <c r="D192" s="15" t="s">
        <v>35</v>
      </c>
      <c r="E192" s="39"/>
      <c r="F192" s="47">
        <v>12</v>
      </c>
      <c r="G192" s="47"/>
      <c r="H192" s="47"/>
      <c r="I192" s="47">
        <f>F192</f>
        <v>12</v>
      </c>
      <c r="J192" s="25" t="s">
        <v>187</v>
      </c>
    </row>
    <row r="193" spans="1:10" ht="38.25" x14ac:dyDescent="0.25">
      <c r="A193" s="110" t="s">
        <v>899</v>
      </c>
      <c r="B193" s="40" t="s">
        <v>316</v>
      </c>
      <c r="C193" s="14" t="s">
        <v>337</v>
      </c>
      <c r="D193" s="15" t="s">
        <v>35</v>
      </c>
      <c r="E193" s="39"/>
      <c r="F193" s="47">
        <v>3</v>
      </c>
      <c r="G193" s="47"/>
      <c r="H193" s="47"/>
      <c r="I193" s="47">
        <f>F193</f>
        <v>3</v>
      </c>
      <c r="J193" s="25" t="s">
        <v>188</v>
      </c>
    </row>
    <row r="194" spans="1:10" ht="25.5" x14ac:dyDescent="0.25">
      <c r="A194" s="110" t="s">
        <v>900</v>
      </c>
      <c r="B194" s="6" t="s">
        <v>962</v>
      </c>
      <c r="C194" s="7" t="s">
        <v>336</v>
      </c>
      <c r="D194" s="40" t="s">
        <v>35</v>
      </c>
      <c r="E194" s="50"/>
      <c r="F194" s="47">
        <v>4</v>
      </c>
      <c r="G194" s="47"/>
      <c r="H194" s="47"/>
      <c r="I194" s="47">
        <f>F194</f>
        <v>4</v>
      </c>
      <c r="J194" s="25" t="s">
        <v>833</v>
      </c>
    </row>
    <row r="195" spans="1:10" x14ac:dyDescent="0.25">
      <c r="A195" s="119" t="s">
        <v>901</v>
      </c>
      <c r="B195" s="53"/>
      <c r="C195" s="76" t="s">
        <v>137</v>
      </c>
      <c r="D195" s="77"/>
      <c r="E195" s="56"/>
      <c r="F195" s="54"/>
      <c r="G195" s="54"/>
      <c r="H195" s="54"/>
      <c r="I195" s="54"/>
      <c r="J195" s="55"/>
    </row>
    <row r="196" spans="1:10" ht="51" x14ac:dyDescent="0.25">
      <c r="A196" s="110" t="s">
        <v>902</v>
      </c>
      <c r="B196" s="6" t="s">
        <v>296</v>
      </c>
      <c r="C196" s="7" t="s">
        <v>1278</v>
      </c>
      <c r="D196" s="40" t="s">
        <v>6</v>
      </c>
      <c r="E196" s="50"/>
      <c r="F196" s="49">
        <v>83.5</v>
      </c>
      <c r="G196" s="49"/>
      <c r="H196" s="49"/>
      <c r="I196" s="49">
        <f>F196+G196</f>
        <v>83.5</v>
      </c>
      <c r="J196" s="35" t="s">
        <v>841</v>
      </c>
    </row>
    <row r="197" spans="1:10" ht="63.75" x14ac:dyDescent="0.25">
      <c r="A197" s="110" t="s">
        <v>903</v>
      </c>
      <c r="B197" s="6" t="s">
        <v>1300</v>
      </c>
      <c r="C197" s="8" t="s">
        <v>1299</v>
      </c>
      <c r="D197" s="24" t="s">
        <v>37</v>
      </c>
      <c r="E197" s="117"/>
      <c r="F197" s="49">
        <v>80</v>
      </c>
      <c r="G197" s="49"/>
      <c r="H197" s="49"/>
      <c r="I197" s="49">
        <f>F197</f>
        <v>80</v>
      </c>
      <c r="J197" s="35" t="s">
        <v>1302</v>
      </c>
    </row>
    <row r="198" spans="1:10" ht="38.25" x14ac:dyDescent="0.25">
      <c r="A198" s="110" t="s">
        <v>1301</v>
      </c>
      <c r="B198" s="6" t="s">
        <v>315</v>
      </c>
      <c r="C198" s="8" t="s">
        <v>167</v>
      </c>
      <c r="D198" s="24" t="s">
        <v>6</v>
      </c>
      <c r="E198" s="117"/>
      <c r="F198" s="49">
        <v>206</v>
      </c>
      <c r="G198" s="49"/>
      <c r="H198" s="49"/>
      <c r="I198" s="49">
        <f>F198</f>
        <v>206</v>
      </c>
      <c r="J198" s="35" t="s">
        <v>842</v>
      </c>
    </row>
    <row r="199" spans="1:10" x14ac:dyDescent="0.25">
      <c r="A199" s="120" t="s">
        <v>904</v>
      </c>
      <c r="B199" s="53"/>
      <c r="C199" s="100" t="s">
        <v>843</v>
      </c>
      <c r="D199" s="101"/>
      <c r="E199" s="121"/>
      <c r="F199" s="54"/>
      <c r="G199" s="54"/>
      <c r="H199" s="54"/>
      <c r="I199" s="54"/>
      <c r="J199" s="55"/>
    </row>
    <row r="200" spans="1:10" ht="38.25" x14ac:dyDescent="0.25">
      <c r="A200" s="110" t="s">
        <v>905</v>
      </c>
      <c r="B200" s="6" t="s">
        <v>309</v>
      </c>
      <c r="C200" s="8" t="s">
        <v>164</v>
      </c>
      <c r="D200" s="24" t="s">
        <v>30</v>
      </c>
      <c r="E200" s="97"/>
      <c r="F200" s="49">
        <f>48*4-4</f>
        <v>188</v>
      </c>
      <c r="G200" s="49">
        <v>0.3</v>
      </c>
      <c r="H200" s="49">
        <v>0.65</v>
      </c>
      <c r="I200" s="39">
        <f>F200*G200*H200</f>
        <v>36.660000000000004</v>
      </c>
      <c r="J200" s="35" t="s">
        <v>844</v>
      </c>
    </row>
    <row r="201" spans="1:10" ht="51" x14ac:dyDescent="0.25">
      <c r="A201" s="110" t="s">
        <v>906</v>
      </c>
      <c r="B201" s="6" t="s">
        <v>39</v>
      </c>
      <c r="C201" s="8" t="s">
        <v>38</v>
      </c>
      <c r="D201" s="24" t="s">
        <v>30</v>
      </c>
      <c r="E201" s="117"/>
      <c r="F201" s="49">
        <f>48*4-4</f>
        <v>188</v>
      </c>
      <c r="G201" s="47">
        <v>0.3</v>
      </c>
      <c r="H201" s="47">
        <v>0.05</v>
      </c>
      <c r="I201" s="47">
        <f>F201*G201*H201</f>
        <v>2.8200000000000003</v>
      </c>
      <c r="J201" s="25" t="s">
        <v>147</v>
      </c>
    </row>
    <row r="202" spans="1:10" ht="38.25" x14ac:dyDescent="0.25">
      <c r="A202" s="110" t="s">
        <v>907</v>
      </c>
      <c r="B202" s="6" t="s">
        <v>846</v>
      </c>
      <c r="C202" s="96" t="s">
        <v>845</v>
      </c>
      <c r="D202" s="34" t="s">
        <v>30</v>
      </c>
      <c r="E202" s="117"/>
      <c r="F202" s="49">
        <f>48*4-4</f>
        <v>188</v>
      </c>
      <c r="G202" s="49">
        <v>0.3</v>
      </c>
      <c r="H202" s="49">
        <v>0.6</v>
      </c>
      <c r="I202" s="49">
        <f>F202*G202*H202</f>
        <v>33.839999999999996</v>
      </c>
      <c r="J202" s="35" t="s">
        <v>847</v>
      </c>
    </row>
    <row r="203" spans="1:10" ht="51" x14ac:dyDescent="0.25">
      <c r="A203" s="110" t="s">
        <v>908</v>
      </c>
      <c r="B203" s="6" t="s">
        <v>307</v>
      </c>
      <c r="C203" s="96" t="s">
        <v>848</v>
      </c>
      <c r="D203" s="34" t="s">
        <v>6</v>
      </c>
      <c r="E203" s="50"/>
      <c r="F203" s="49">
        <f>48*4-4</f>
        <v>188</v>
      </c>
      <c r="G203" s="49">
        <v>2.2999999999999998</v>
      </c>
      <c r="H203" s="49">
        <f>(188/3)*(0.15*2.2)</f>
        <v>20.68</v>
      </c>
      <c r="I203" s="49">
        <f>(F203*G203)-H203</f>
        <v>411.71999999999997</v>
      </c>
      <c r="J203" s="35" t="s">
        <v>849</v>
      </c>
    </row>
    <row r="204" spans="1:10" ht="51" x14ac:dyDescent="0.25">
      <c r="A204" s="110" t="s">
        <v>909</v>
      </c>
      <c r="B204" s="6" t="s">
        <v>305</v>
      </c>
      <c r="C204" s="33" t="s">
        <v>968</v>
      </c>
      <c r="D204" s="34" t="s">
        <v>30</v>
      </c>
      <c r="E204" s="50"/>
      <c r="F204" s="49">
        <f>(188/3)*0.15*0.1*(2.2+0.6)</f>
        <v>2.6320000000000001</v>
      </c>
      <c r="G204" s="49">
        <f>188*0.1*0.1</f>
        <v>1.8800000000000001</v>
      </c>
      <c r="H204" s="49">
        <v>1.88</v>
      </c>
      <c r="I204" s="49">
        <f>F204+G204+H204</f>
        <v>6.3920000000000003</v>
      </c>
      <c r="J204" s="35" t="s">
        <v>850</v>
      </c>
    </row>
    <row r="205" spans="1:10" ht="38.25" x14ac:dyDescent="0.25">
      <c r="A205" s="110" t="s">
        <v>910</v>
      </c>
      <c r="B205" s="6" t="s">
        <v>769</v>
      </c>
      <c r="C205" s="33" t="s">
        <v>967</v>
      </c>
      <c r="D205" s="34" t="s">
        <v>30</v>
      </c>
      <c r="E205" s="50">
        <v>2</v>
      </c>
      <c r="F205" s="49">
        <v>188</v>
      </c>
      <c r="G205" s="49">
        <v>2.5</v>
      </c>
      <c r="H205" s="49"/>
      <c r="I205" s="49">
        <f>E205*F205*G205</f>
        <v>940</v>
      </c>
      <c r="J205" s="35" t="s">
        <v>1193</v>
      </c>
    </row>
    <row r="206" spans="1:10" ht="38.25" x14ac:dyDescent="0.25">
      <c r="A206" s="110" t="s">
        <v>911</v>
      </c>
      <c r="B206" s="6" t="s">
        <v>767</v>
      </c>
      <c r="C206" s="33" t="s">
        <v>766</v>
      </c>
      <c r="D206" s="15" t="s">
        <v>30</v>
      </c>
      <c r="E206" s="50"/>
      <c r="F206" s="49">
        <v>940</v>
      </c>
      <c r="G206" s="49"/>
      <c r="H206" s="49"/>
      <c r="I206" s="49">
        <f>F206</f>
        <v>940</v>
      </c>
      <c r="J206" s="35" t="s">
        <v>1194</v>
      </c>
    </row>
    <row r="207" spans="1:10" ht="38.25" x14ac:dyDescent="0.25">
      <c r="A207" s="110" t="s">
        <v>912</v>
      </c>
      <c r="B207" s="6" t="s">
        <v>308</v>
      </c>
      <c r="C207" s="14" t="s">
        <v>31</v>
      </c>
      <c r="D207" s="15" t="s">
        <v>6</v>
      </c>
      <c r="E207" s="50">
        <v>2</v>
      </c>
      <c r="F207" s="49">
        <v>188</v>
      </c>
      <c r="G207" s="49">
        <v>2.5</v>
      </c>
      <c r="H207" s="49"/>
      <c r="I207" s="49">
        <f>E207*(F207*G207)</f>
        <v>940</v>
      </c>
      <c r="J207" s="35" t="s">
        <v>852</v>
      </c>
    </row>
    <row r="208" spans="1:10" ht="38.25" x14ac:dyDescent="0.25">
      <c r="A208" s="110" t="s">
        <v>913</v>
      </c>
      <c r="B208" s="6" t="s">
        <v>960</v>
      </c>
      <c r="C208" s="33" t="s">
        <v>851</v>
      </c>
      <c r="D208" s="34" t="s">
        <v>37</v>
      </c>
      <c r="E208" s="117"/>
      <c r="F208" s="49">
        <v>192</v>
      </c>
      <c r="G208" s="49"/>
      <c r="H208" s="49"/>
      <c r="I208" s="49">
        <f>F208</f>
        <v>192</v>
      </c>
      <c r="J208" s="35" t="s">
        <v>1192</v>
      </c>
    </row>
    <row r="209" spans="1:10" ht="25.5" x14ac:dyDescent="0.25">
      <c r="A209" s="110" t="s">
        <v>914</v>
      </c>
      <c r="B209" s="13" t="s">
        <v>958</v>
      </c>
      <c r="C209" s="122" t="s">
        <v>1280</v>
      </c>
      <c r="D209" s="34" t="s">
        <v>35</v>
      </c>
      <c r="E209" s="117"/>
      <c r="F209" s="49">
        <v>1</v>
      </c>
      <c r="G209" s="49"/>
      <c r="H209" s="49"/>
      <c r="I209" s="49">
        <f>F209+G209</f>
        <v>1</v>
      </c>
      <c r="J209" s="35" t="s">
        <v>313</v>
      </c>
    </row>
    <row r="210" spans="1:10" x14ac:dyDescent="0.25">
      <c r="A210" s="108" t="s">
        <v>65</v>
      </c>
      <c r="B210" s="61"/>
      <c r="C210" s="62" t="s">
        <v>163</v>
      </c>
      <c r="D210" s="62"/>
      <c r="E210" s="64"/>
      <c r="F210" s="65"/>
      <c r="G210" s="65"/>
      <c r="H210" s="65"/>
      <c r="I210" s="65"/>
      <c r="J210" s="67"/>
    </row>
    <row r="211" spans="1:10" x14ac:dyDescent="0.25">
      <c r="A211" s="109" t="s">
        <v>66</v>
      </c>
      <c r="B211" s="74"/>
      <c r="C211" s="76" t="s">
        <v>666</v>
      </c>
      <c r="D211" s="77"/>
      <c r="E211" s="54"/>
      <c r="F211" s="54"/>
      <c r="G211" s="54"/>
      <c r="H211" s="54"/>
      <c r="I211" s="78"/>
      <c r="J211" s="55"/>
    </row>
    <row r="212" spans="1:10" ht="38.25" x14ac:dyDescent="0.25">
      <c r="A212" s="110" t="s">
        <v>148</v>
      </c>
      <c r="B212" s="6" t="s">
        <v>1317</v>
      </c>
      <c r="C212" s="7" t="s">
        <v>1316</v>
      </c>
      <c r="D212" s="40" t="s">
        <v>30</v>
      </c>
      <c r="E212" s="49"/>
      <c r="F212" s="49">
        <f>1149-200</f>
        <v>949</v>
      </c>
      <c r="G212" s="49">
        <v>0.4</v>
      </c>
      <c r="H212" s="49">
        <v>0.8</v>
      </c>
      <c r="I212" s="39">
        <f>F212*G212*H212</f>
        <v>303.68</v>
      </c>
      <c r="J212" s="35" t="s">
        <v>43</v>
      </c>
    </row>
    <row r="213" spans="1:10" ht="25.5" x14ac:dyDescent="0.25">
      <c r="A213" s="110" t="s">
        <v>149</v>
      </c>
      <c r="B213" s="6" t="s">
        <v>1296</v>
      </c>
      <c r="C213" s="14" t="s">
        <v>1295</v>
      </c>
      <c r="D213" s="15" t="s">
        <v>6</v>
      </c>
      <c r="E213" s="50"/>
      <c r="F213" s="47">
        <v>949</v>
      </c>
      <c r="G213" s="47">
        <v>0.4</v>
      </c>
      <c r="H213" s="47"/>
      <c r="I213" s="47">
        <f>F213*G213</f>
        <v>379.6</v>
      </c>
      <c r="J213" s="25" t="s">
        <v>1297</v>
      </c>
    </row>
    <row r="214" spans="1:10" ht="25.5" x14ac:dyDescent="0.25">
      <c r="A214" s="110" t="s">
        <v>150</v>
      </c>
      <c r="B214" s="6" t="s">
        <v>1286</v>
      </c>
      <c r="C214" s="14" t="s">
        <v>1284</v>
      </c>
      <c r="D214" s="15" t="s">
        <v>37</v>
      </c>
      <c r="E214" s="50"/>
      <c r="F214" s="47">
        <v>949</v>
      </c>
      <c r="G214" s="47"/>
      <c r="H214" s="47"/>
      <c r="I214" s="47">
        <f>F214</f>
        <v>949</v>
      </c>
      <c r="J214" s="25" t="s">
        <v>42</v>
      </c>
    </row>
    <row r="215" spans="1:10" ht="51" x14ac:dyDescent="0.25">
      <c r="A215" s="110" t="s">
        <v>151</v>
      </c>
      <c r="B215" s="6" t="s">
        <v>668</v>
      </c>
      <c r="C215" s="33" t="s">
        <v>669</v>
      </c>
      <c r="D215" s="34" t="s">
        <v>30</v>
      </c>
      <c r="E215" s="49"/>
      <c r="F215" s="49">
        <v>200</v>
      </c>
      <c r="G215" s="49">
        <v>0.4</v>
      </c>
      <c r="H215" s="49">
        <v>0.6</v>
      </c>
      <c r="I215" s="39">
        <f>F215*G215*H215</f>
        <v>48</v>
      </c>
      <c r="J215" s="35" t="s">
        <v>43</v>
      </c>
    </row>
    <row r="216" spans="1:10" ht="38.25" x14ac:dyDescent="0.25">
      <c r="A216" s="110" t="s">
        <v>152</v>
      </c>
      <c r="B216" s="6" t="s">
        <v>670</v>
      </c>
      <c r="C216" s="33" t="s">
        <v>671</v>
      </c>
      <c r="D216" s="34" t="s">
        <v>30</v>
      </c>
      <c r="E216" s="49"/>
      <c r="F216" s="49">
        <v>48</v>
      </c>
      <c r="G216" s="49">
        <v>1.25</v>
      </c>
      <c r="H216" s="49"/>
      <c r="I216" s="49">
        <f>F216*G216</f>
        <v>60</v>
      </c>
      <c r="J216" s="35" t="s">
        <v>672</v>
      </c>
    </row>
    <row r="217" spans="1:10" ht="25.5" x14ac:dyDescent="0.25">
      <c r="A217" s="110" t="s">
        <v>153</v>
      </c>
      <c r="B217" s="6" t="s">
        <v>1286</v>
      </c>
      <c r="C217" s="33" t="s">
        <v>1284</v>
      </c>
      <c r="D217" s="34" t="s">
        <v>37</v>
      </c>
      <c r="E217" s="50"/>
      <c r="F217" s="47">
        <v>200</v>
      </c>
      <c r="G217" s="47"/>
      <c r="H217" s="47"/>
      <c r="I217" s="47">
        <f>F217</f>
        <v>200</v>
      </c>
      <c r="J217" s="25" t="s">
        <v>42</v>
      </c>
    </row>
    <row r="218" spans="1:10" ht="51" x14ac:dyDescent="0.25">
      <c r="A218" s="110" t="s">
        <v>274</v>
      </c>
      <c r="B218" s="6" t="s">
        <v>675</v>
      </c>
      <c r="C218" s="33" t="s">
        <v>676</v>
      </c>
      <c r="D218" s="34" t="s">
        <v>30</v>
      </c>
      <c r="E218" s="49"/>
      <c r="F218" s="49">
        <v>48</v>
      </c>
      <c r="G218" s="49">
        <v>1.1000000000000001</v>
      </c>
      <c r="H218" s="49"/>
      <c r="I218" s="49">
        <f>F218*G218</f>
        <v>52.800000000000004</v>
      </c>
      <c r="J218" s="35" t="s">
        <v>1191</v>
      </c>
    </row>
    <row r="219" spans="1:10" ht="38.25" x14ac:dyDescent="0.25">
      <c r="A219" s="110" t="s">
        <v>275</v>
      </c>
      <c r="B219" s="6" t="s">
        <v>677</v>
      </c>
      <c r="C219" s="33" t="s">
        <v>678</v>
      </c>
      <c r="D219" s="34" t="s">
        <v>30</v>
      </c>
      <c r="E219" s="49"/>
      <c r="F219" s="49">
        <v>52.8</v>
      </c>
      <c r="G219" s="49"/>
      <c r="H219" s="49"/>
      <c r="I219" s="49">
        <f>F219</f>
        <v>52.8</v>
      </c>
      <c r="J219" s="35" t="s">
        <v>679</v>
      </c>
    </row>
    <row r="220" spans="1:10" ht="51" x14ac:dyDescent="0.25">
      <c r="A220" s="110" t="s">
        <v>1298</v>
      </c>
      <c r="B220" s="6" t="s">
        <v>673</v>
      </c>
      <c r="C220" s="33" t="s">
        <v>674</v>
      </c>
      <c r="D220" s="34" t="s">
        <v>30</v>
      </c>
      <c r="E220" s="49"/>
      <c r="F220" s="49">
        <v>303.68</v>
      </c>
      <c r="G220" s="49">
        <v>48</v>
      </c>
      <c r="H220" s="49"/>
      <c r="I220" s="49">
        <f>F220+G220</f>
        <v>351.68</v>
      </c>
      <c r="J220" s="35" t="s">
        <v>970</v>
      </c>
    </row>
    <row r="221" spans="1:10" x14ac:dyDescent="0.25">
      <c r="A221" s="109" t="s">
        <v>680</v>
      </c>
      <c r="B221" s="74"/>
      <c r="C221" s="76" t="s">
        <v>941</v>
      </c>
      <c r="D221" s="77"/>
      <c r="E221" s="54"/>
      <c r="F221" s="54"/>
      <c r="G221" s="54"/>
      <c r="H221" s="54"/>
      <c r="I221" s="78"/>
      <c r="J221" s="55"/>
    </row>
    <row r="222" spans="1:10" ht="51" x14ac:dyDescent="0.25">
      <c r="A222" s="110" t="s">
        <v>681</v>
      </c>
      <c r="B222" s="6" t="s">
        <v>306</v>
      </c>
      <c r="C222" s="7" t="s">
        <v>40</v>
      </c>
      <c r="D222" s="40" t="s">
        <v>6</v>
      </c>
      <c r="E222" s="49"/>
      <c r="F222" s="49">
        <f>2*0.8696</f>
        <v>1.7392000000000001</v>
      </c>
      <c r="G222" s="49">
        <f>6*0.5916</f>
        <v>3.5495999999999999</v>
      </c>
      <c r="H222" s="49">
        <f>3*0.3943</f>
        <v>1.1829000000000001</v>
      </c>
      <c r="I222" s="39">
        <f>SUM(F222:H222)</f>
        <v>6.4717000000000002</v>
      </c>
      <c r="J222" s="35" t="s">
        <v>950</v>
      </c>
    </row>
    <row r="223" spans="1:10" ht="51" x14ac:dyDescent="0.25">
      <c r="A223" s="110" t="s">
        <v>682</v>
      </c>
      <c r="B223" s="13" t="s">
        <v>725</v>
      </c>
      <c r="C223" s="14" t="s">
        <v>724</v>
      </c>
      <c r="D223" s="15" t="s">
        <v>30</v>
      </c>
      <c r="E223" s="50"/>
      <c r="F223" s="47">
        <f>2*1.1156</f>
        <v>2.2311999999999999</v>
      </c>
      <c r="G223" s="47">
        <f>6*0.6038</f>
        <v>3.6227999999999998</v>
      </c>
      <c r="H223" s="47">
        <f>3*0.3078</f>
        <v>0.9234</v>
      </c>
      <c r="I223" s="39">
        <f>SUM(F223:H223)</f>
        <v>6.7773999999999992</v>
      </c>
      <c r="J223" s="35" t="s">
        <v>949</v>
      </c>
    </row>
    <row r="224" spans="1:10" ht="25.5" x14ac:dyDescent="0.25">
      <c r="A224" s="110" t="s">
        <v>982</v>
      </c>
      <c r="B224" s="6" t="s">
        <v>723</v>
      </c>
      <c r="C224" s="33" t="s">
        <v>722</v>
      </c>
      <c r="D224" s="34" t="s">
        <v>30</v>
      </c>
      <c r="E224" s="49"/>
      <c r="F224" s="49">
        <v>6.78</v>
      </c>
      <c r="G224" s="49"/>
      <c r="H224" s="49"/>
      <c r="I224" s="49">
        <f>F224</f>
        <v>6.78</v>
      </c>
      <c r="J224" s="35" t="s">
        <v>779</v>
      </c>
    </row>
    <row r="225" spans="1:10" x14ac:dyDescent="0.25">
      <c r="A225" s="119" t="s">
        <v>685</v>
      </c>
      <c r="B225" s="53"/>
      <c r="C225" s="76" t="s">
        <v>137</v>
      </c>
      <c r="D225" s="77"/>
      <c r="E225" s="56"/>
      <c r="F225" s="54"/>
      <c r="G225" s="54"/>
      <c r="H225" s="54"/>
      <c r="I225" s="54"/>
      <c r="J225" s="55"/>
    </row>
    <row r="226" spans="1:10" ht="38.25" x14ac:dyDescent="0.25">
      <c r="A226" s="110" t="s">
        <v>686</v>
      </c>
      <c r="B226" s="6" t="s">
        <v>959</v>
      </c>
      <c r="C226" s="7" t="s">
        <v>168</v>
      </c>
      <c r="D226" s="40" t="s">
        <v>6</v>
      </c>
      <c r="E226" s="50"/>
      <c r="F226" s="49">
        <v>1</v>
      </c>
      <c r="G226" s="49">
        <v>424</v>
      </c>
      <c r="H226" s="49"/>
      <c r="I226" s="49">
        <f>F226*G226</f>
        <v>424</v>
      </c>
      <c r="J226" s="35" t="s">
        <v>683</v>
      </c>
    </row>
    <row r="227" spans="1:10" ht="38.25" x14ac:dyDescent="0.25">
      <c r="A227" s="110" t="s">
        <v>687</v>
      </c>
      <c r="B227" s="6" t="s">
        <v>315</v>
      </c>
      <c r="C227" s="7" t="s">
        <v>167</v>
      </c>
      <c r="D227" s="40" t="s">
        <v>6</v>
      </c>
      <c r="E227" s="50"/>
      <c r="F227" s="49">
        <v>1</v>
      </c>
      <c r="G227" s="49">
        <v>424</v>
      </c>
      <c r="H227" s="49"/>
      <c r="I227" s="49">
        <f>F227*G227</f>
        <v>424</v>
      </c>
      <c r="J227" s="35" t="s">
        <v>684</v>
      </c>
    </row>
    <row r="228" spans="1:10" x14ac:dyDescent="0.25">
      <c r="A228" s="109" t="s">
        <v>695</v>
      </c>
      <c r="B228" s="57"/>
      <c r="C228" s="73" t="s">
        <v>688</v>
      </c>
      <c r="D228" s="74"/>
      <c r="E228" s="56"/>
      <c r="F228" s="54"/>
      <c r="G228" s="54"/>
      <c r="H228" s="54"/>
      <c r="I228" s="54"/>
      <c r="J228" s="55"/>
    </row>
    <row r="229" spans="1:10" ht="63.75" x14ac:dyDescent="0.25">
      <c r="A229" s="110" t="s">
        <v>696</v>
      </c>
      <c r="B229" s="6" t="s">
        <v>309</v>
      </c>
      <c r="C229" s="7" t="s">
        <v>164</v>
      </c>
      <c r="D229" s="40" t="s">
        <v>30</v>
      </c>
      <c r="E229" s="49"/>
      <c r="F229" s="49">
        <f>1.6+1</f>
        <v>2.6</v>
      </c>
      <c r="G229" s="49">
        <f>1.3+1</f>
        <v>2.2999999999999998</v>
      </c>
      <c r="H229" s="49">
        <v>1.6</v>
      </c>
      <c r="I229" s="49">
        <f>F229*G229*H229</f>
        <v>9.5679999999999996</v>
      </c>
      <c r="J229" s="35" t="s">
        <v>689</v>
      </c>
    </row>
    <row r="230" spans="1:10" ht="25.5" x14ac:dyDescent="0.25">
      <c r="A230" s="110" t="s">
        <v>711</v>
      </c>
      <c r="B230" s="13" t="s">
        <v>304</v>
      </c>
      <c r="C230" s="14" t="s">
        <v>32</v>
      </c>
      <c r="D230" s="15" t="s">
        <v>30</v>
      </c>
      <c r="E230" s="49"/>
      <c r="F230" s="49">
        <v>0.1</v>
      </c>
      <c r="G230" s="49">
        <v>1.3</v>
      </c>
      <c r="H230" s="49">
        <v>1</v>
      </c>
      <c r="I230" s="49">
        <f>F230*(G230*H230)</f>
        <v>0.13</v>
      </c>
      <c r="J230" s="35" t="s">
        <v>127</v>
      </c>
    </row>
    <row r="231" spans="1:10" ht="51" x14ac:dyDescent="0.25">
      <c r="A231" s="110" t="s">
        <v>712</v>
      </c>
      <c r="B231" s="95" t="s">
        <v>307</v>
      </c>
      <c r="C231" s="96" t="s">
        <v>848</v>
      </c>
      <c r="D231" s="15" t="s">
        <v>6</v>
      </c>
      <c r="E231" s="49"/>
      <c r="F231" s="49">
        <f>1.6*2</f>
        <v>3.2</v>
      </c>
      <c r="G231" s="49">
        <f>1*2</f>
        <v>2</v>
      </c>
      <c r="H231" s="49">
        <v>1.2</v>
      </c>
      <c r="I231" s="49">
        <f>(F231+G231)*H231</f>
        <v>6.24</v>
      </c>
      <c r="J231" s="35" t="s">
        <v>690</v>
      </c>
    </row>
    <row r="232" spans="1:10" ht="38.25" x14ac:dyDescent="0.25">
      <c r="A232" s="110" t="s">
        <v>942</v>
      </c>
      <c r="B232" s="6" t="s">
        <v>767</v>
      </c>
      <c r="C232" s="33" t="s">
        <v>766</v>
      </c>
      <c r="D232" s="15" t="s">
        <v>6</v>
      </c>
      <c r="E232" s="49">
        <v>2</v>
      </c>
      <c r="F232" s="49">
        <v>6.24</v>
      </c>
      <c r="G232" s="49"/>
      <c r="H232" s="49"/>
      <c r="I232" s="49">
        <f>F232*E232</f>
        <v>12.48</v>
      </c>
      <c r="J232" s="35" t="s">
        <v>72</v>
      </c>
    </row>
    <row r="233" spans="1:10" ht="38.25" x14ac:dyDescent="0.25">
      <c r="A233" s="110" t="s">
        <v>943</v>
      </c>
      <c r="B233" s="6" t="s">
        <v>305</v>
      </c>
      <c r="C233" s="33" t="s">
        <v>968</v>
      </c>
      <c r="D233" s="15" t="s">
        <v>30</v>
      </c>
      <c r="E233" s="49"/>
      <c r="F233" s="49">
        <v>1.6</v>
      </c>
      <c r="G233" s="49">
        <v>1.3</v>
      </c>
      <c r="H233" s="49">
        <v>7.0000000000000007E-2</v>
      </c>
      <c r="I233" s="49">
        <f>F233*G233*H233</f>
        <v>0.14560000000000001</v>
      </c>
      <c r="J233" s="35" t="s">
        <v>691</v>
      </c>
    </row>
    <row r="234" spans="1:10" ht="38.25" x14ac:dyDescent="0.25">
      <c r="A234" s="110" t="s">
        <v>944</v>
      </c>
      <c r="B234" s="13" t="s">
        <v>303</v>
      </c>
      <c r="C234" s="14" t="s">
        <v>302</v>
      </c>
      <c r="D234" s="15" t="s">
        <v>30</v>
      </c>
      <c r="E234" s="49"/>
      <c r="F234" s="49">
        <v>9.57</v>
      </c>
      <c r="G234" s="49">
        <f>1.6*1.3*1.2</f>
        <v>2.496</v>
      </c>
      <c r="H234" s="49"/>
      <c r="I234" s="49">
        <f>F234-G234</f>
        <v>7.0739999999999998</v>
      </c>
      <c r="J234" s="35" t="s">
        <v>692</v>
      </c>
    </row>
    <row r="235" spans="1:10" ht="25.5" x14ac:dyDescent="0.25">
      <c r="A235" s="109" t="s">
        <v>945</v>
      </c>
      <c r="B235" s="57"/>
      <c r="C235" s="100" t="s">
        <v>697</v>
      </c>
      <c r="D235" s="101"/>
      <c r="E235" s="102"/>
      <c r="F235" s="54"/>
      <c r="G235" s="54"/>
      <c r="H235" s="54"/>
      <c r="I235" s="54"/>
      <c r="J235" s="55"/>
    </row>
    <row r="236" spans="1:10" ht="25.5" x14ac:dyDescent="0.25">
      <c r="A236" s="110" t="s">
        <v>946</v>
      </c>
      <c r="B236" s="13" t="s">
        <v>966</v>
      </c>
      <c r="C236" s="33" t="s">
        <v>33</v>
      </c>
      <c r="D236" s="34" t="s">
        <v>34</v>
      </c>
      <c r="E236" s="49">
        <f>2+15</f>
        <v>17</v>
      </c>
      <c r="F236" s="49"/>
      <c r="G236" s="49"/>
      <c r="H236" s="49"/>
      <c r="I236" s="49">
        <f>E236</f>
        <v>17</v>
      </c>
      <c r="J236" s="35" t="s">
        <v>694</v>
      </c>
    </row>
    <row r="237" spans="1:10" ht="25.5" x14ac:dyDescent="0.25">
      <c r="A237" s="110" t="s">
        <v>947</v>
      </c>
      <c r="B237" s="13" t="s">
        <v>314</v>
      </c>
      <c r="C237" s="33" t="s">
        <v>632</v>
      </c>
      <c r="D237" s="34" t="s">
        <v>34</v>
      </c>
      <c r="E237" s="49">
        <f>6+1</f>
        <v>7</v>
      </c>
      <c r="F237" s="49"/>
      <c r="G237" s="49"/>
      <c r="H237" s="49"/>
      <c r="I237" s="49">
        <f>E237</f>
        <v>7</v>
      </c>
      <c r="J237" s="35" t="s">
        <v>694</v>
      </c>
    </row>
    <row r="238" spans="1:10" ht="25.5" x14ac:dyDescent="0.25">
      <c r="A238" s="110" t="s">
        <v>948</v>
      </c>
      <c r="B238" s="13" t="s">
        <v>961</v>
      </c>
      <c r="C238" s="33" t="s">
        <v>698</v>
      </c>
      <c r="D238" s="34" t="s">
        <v>34</v>
      </c>
      <c r="E238" s="49">
        <v>2</v>
      </c>
      <c r="F238" s="49"/>
      <c r="G238" s="49"/>
      <c r="H238" s="49"/>
      <c r="I238" s="49">
        <f>E238</f>
        <v>2</v>
      </c>
      <c r="J238" s="35" t="s">
        <v>694</v>
      </c>
    </row>
  </sheetData>
  <autoFilter ref="A8:J238"/>
  <mergeCells count="5">
    <mergeCell ref="A1:J1"/>
    <mergeCell ref="A2:J2"/>
    <mergeCell ref="A3:J3"/>
    <mergeCell ref="A5:I5"/>
    <mergeCell ref="A6:I6"/>
  </mergeCells>
  <printOptions horizontalCentered="1"/>
  <pageMargins left="0.59055118110236227" right="0.59055118110236227" top="0.78740157480314965" bottom="0.59055118110236227" header="0.31496062992125984" footer="0.31496062992125984"/>
  <pageSetup paperSize="9" orientation="landscape" horizontalDpi="300" verticalDpi="300" r:id="rId1"/>
  <headerFooter>
    <oddFooter>&amp;R&amp;"Arial Narrow,Normal"&amp;8&amp;F
Folha &amp;P de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tabColor rgb="FF0070C0"/>
  </sheetPr>
  <dimension ref="A1:F340"/>
  <sheetViews>
    <sheetView view="pageBreakPreview" zoomScale="110" zoomScaleNormal="100" zoomScaleSheetLayoutView="110" workbookViewId="0">
      <pane ySplit="8" topLeftCell="A9" activePane="bottomLeft" state="frozen"/>
      <selection activeCell="C34" sqref="C34"/>
      <selection pane="bottomLeft" activeCell="C341" sqref="C341"/>
    </sheetView>
  </sheetViews>
  <sheetFormatPr defaultRowHeight="12.75" x14ac:dyDescent="0.25"/>
  <cols>
    <col min="1" max="1" width="5.7109375" style="2" customWidth="1"/>
    <col min="2" max="2" width="9.85546875" style="1" customWidth="1"/>
    <col min="3" max="3" width="45.140625" style="2" customWidth="1"/>
    <col min="4" max="4" width="12.5703125" style="1" bestFit="1" customWidth="1"/>
    <col min="5" max="5" width="8.7109375" style="1" customWidth="1"/>
    <col min="6" max="6" width="14.5703125" style="1" bestFit="1" customWidth="1"/>
    <col min="7" max="16384" width="9.140625" style="1"/>
  </cols>
  <sheetData>
    <row r="1" spans="1:6" s="12" customFormat="1" x14ac:dyDescent="0.25">
      <c r="A1" s="153" t="s">
        <v>11</v>
      </c>
      <c r="B1" s="154"/>
      <c r="C1" s="154"/>
      <c r="D1" s="154"/>
      <c r="E1" s="154"/>
      <c r="F1" s="155"/>
    </row>
    <row r="2" spans="1:6" s="12" customFormat="1" x14ac:dyDescent="0.25">
      <c r="A2" s="156" t="s">
        <v>12</v>
      </c>
      <c r="B2" s="157"/>
      <c r="C2" s="157"/>
      <c r="D2" s="157"/>
      <c r="E2" s="157"/>
      <c r="F2" s="158"/>
    </row>
    <row r="3" spans="1:6" s="12" customFormat="1" x14ac:dyDescent="0.25">
      <c r="A3" s="159" t="s">
        <v>13</v>
      </c>
      <c r="B3" s="160"/>
      <c r="C3" s="160"/>
      <c r="D3" s="160"/>
      <c r="E3" s="160"/>
      <c r="F3" s="161"/>
    </row>
    <row r="4" spans="1:6" s="17" customFormat="1" x14ac:dyDescent="0.25">
      <c r="A4" s="133"/>
      <c r="B4" s="16"/>
      <c r="C4" s="16"/>
      <c r="D4" s="16"/>
      <c r="E4" s="16"/>
      <c r="F4" s="134"/>
    </row>
    <row r="5" spans="1:6" s="12" customFormat="1" ht="15" customHeight="1" x14ac:dyDescent="0.25">
      <c r="A5" s="166" t="s">
        <v>957</v>
      </c>
      <c r="B5" s="167"/>
      <c r="C5" s="167"/>
      <c r="D5" s="167"/>
      <c r="E5" s="167"/>
      <c r="F5" s="21" t="s">
        <v>14</v>
      </c>
    </row>
    <row r="6" spans="1:6" s="12" customFormat="1" ht="15" customHeight="1" x14ac:dyDescent="0.25">
      <c r="A6" s="168" t="s">
        <v>626</v>
      </c>
      <c r="B6" s="169"/>
      <c r="C6" s="169"/>
      <c r="D6" s="169"/>
      <c r="E6" s="169"/>
      <c r="F6" s="22" t="s">
        <v>628</v>
      </c>
    </row>
    <row r="7" spans="1:6" s="17" customFormat="1" x14ac:dyDescent="0.25">
      <c r="A7" s="133"/>
      <c r="B7" s="16"/>
      <c r="C7" s="16"/>
      <c r="D7" s="18"/>
      <c r="E7" s="19"/>
      <c r="F7" s="135"/>
    </row>
    <row r="8" spans="1:6" x14ac:dyDescent="0.25">
      <c r="A8" s="26" t="s">
        <v>0</v>
      </c>
      <c r="B8" s="26" t="s">
        <v>15</v>
      </c>
      <c r="C8" s="26" t="s">
        <v>1</v>
      </c>
      <c r="D8" s="26" t="s">
        <v>208</v>
      </c>
      <c r="E8" s="26" t="s">
        <v>16</v>
      </c>
      <c r="F8" s="27" t="s">
        <v>209</v>
      </c>
    </row>
    <row r="9" spans="1:6" s="12" customFormat="1" x14ac:dyDescent="0.25">
      <c r="A9" s="59" t="s">
        <v>18</v>
      </c>
      <c r="B9" s="68"/>
      <c r="C9" s="125" t="s">
        <v>154</v>
      </c>
      <c r="D9" s="69"/>
      <c r="E9" s="60"/>
      <c r="F9" s="136"/>
    </row>
    <row r="10" spans="1:6" s="12" customFormat="1" x14ac:dyDescent="0.25">
      <c r="A10" s="52" t="s">
        <v>7</v>
      </c>
      <c r="B10" s="53"/>
      <c r="C10" s="126" t="s">
        <v>228</v>
      </c>
      <c r="D10" s="77"/>
      <c r="E10" s="54"/>
      <c r="F10" s="137"/>
    </row>
    <row r="11" spans="1:6" hidden="1" x14ac:dyDescent="0.25">
      <c r="A11" s="4" t="s">
        <v>215</v>
      </c>
      <c r="B11" s="82" t="s">
        <v>212</v>
      </c>
      <c r="C11" s="124" t="s">
        <v>575</v>
      </c>
      <c r="D11" s="5" t="s">
        <v>763</v>
      </c>
      <c r="E11" s="48" t="s">
        <v>37</v>
      </c>
      <c r="F11" s="138">
        <v>9</v>
      </c>
    </row>
    <row r="12" spans="1:6" hidden="1" x14ac:dyDescent="0.25">
      <c r="A12" s="4" t="s">
        <v>216</v>
      </c>
      <c r="B12" s="82" t="s">
        <v>1181</v>
      </c>
      <c r="C12" s="124" t="s">
        <v>1180</v>
      </c>
      <c r="D12" s="5" t="s">
        <v>210</v>
      </c>
      <c r="E12" s="48" t="s">
        <v>35</v>
      </c>
      <c r="F12" s="138">
        <v>4</v>
      </c>
    </row>
    <row r="13" spans="1:6" hidden="1" x14ac:dyDescent="0.25">
      <c r="A13" s="4" t="s">
        <v>217</v>
      </c>
      <c r="B13" s="82" t="s">
        <v>1217</v>
      </c>
      <c r="C13" s="124" t="s">
        <v>1218</v>
      </c>
      <c r="D13" s="5" t="s">
        <v>358</v>
      </c>
      <c r="E13" s="5" t="s">
        <v>34</v>
      </c>
      <c r="F13" s="139">
        <v>3</v>
      </c>
    </row>
    <row r="14" spans="1:6" ht="26.25" hidden="1" customHeight="1" x14ac:dyDescent="0.25">
      <c r="A14" s="4" t="s">
        <v>218</v>
      </c>
      <c r="B14" s="82" t="s">
        <v>1208</v>
      </c>
      <c r="C14" s="124" t="s">
        <v>1028</v>
      </c>
      <c r="D14" s="5" t="s">
        <v>358</v>
      </c>
      <c r="E14" s="5" t="s">
        <v>34</v>
      </c>
      <c r="F14" s="139">
        <v>2</v>
      </c>
    </row>
    <row r="15" spans="1:6" ht="25.5" hidden="1" x14ac:dyDescent="0.25">
      <c r="A15" s="4" t="s">
        <v>219</v>
      </c>
      <c r="B15" s="82" t="s">
        <v>1100</v>
      </c>
      <c r="C15" s="124" t="s">
        <v>1099</v>
      </c>
      <c r="D15" s="5" t="s">
        <v>358</v>
      </c>
      <c r="E15" s="5" t="s">
        <v>45</v>
      </c>
      <c r="F15" s="139">
        <v>1</v>
      </c>
    </row>
    <row r="16" spans="1:6" hidden="1" x14ac:dyDescent="0.25">
      <c r="A16" s="4" t="s">
        <v>220</v>
      </c>
      <c r="B16" s="82" t="s">
        <v>1060</v>
      </c>
      <c r="C16" s="124" t="s">
        <v>1061</v>
      </c>
      <c r="D16" s="5" t="s">
        <v>358</v>
      </c>
      <c r="E16" s="5" t="s">
        <v>45</v>
      </c>
      <c r="F16" s="139">
        <v>2</v>
      </c>
    </row>
    <row r="17" spans="1:6" hidden="1" x14ac:dyDescent="0.25">
      <c r="A17" s="4" t="s">
        <v>221</v>
      </c>
      <c r="B17" s="82" t="s">
        <v>1257</v>
      </c>
      <c r="C17" s="124" t="s">
        <v>359</v>
      </c>
      <c r="D17" s="5" t="s">
        <v>358</v>
      </c>
      <c r="E17" s="5" t="s">
        <v>45</v>
      </c>
      <c r="F17" s="139">
        <v>1</v>
      </c>
    </row>
    <row r="18" spans="1:6" ht="25.5" hidden="1" x14ac:dyDescent="0.25">
      <c r="A18" s="4" t="s">
        <v>222</v>
      </c>
      <c r="B18" s="82" t="s">
        <v>1231</v>
      </c>
      <c r="C18" s="124" t="s">
        <v>1233</v>
      </c>
      <c r="D18" s="41" t="s">
        <v>230</v>
      </c>
      <c r="E18" s="5" t="s">
        <v>34</v>
      </c>
      <c r="F18" s="139">
        <v>3</v>
      </c>
    </row>
    <row r="19" spans="1:6" hidden="1" x14ac:dyDescent="0.25">
      <c r="A19" s="4" t="s">
        <v>223</v>
      </c>
      <c r="B19" s="82" t="s">
        <v>1047</v>
      </c>
      <c r="C19" s="124" t="s">
        <v>1150</v>
      </c>
      <c r="D19" s="5" t="s">
        <v>358</v>
      </c>
      <c r="E19" s="5" t="s">
        <v>34</v>
      </c>
      <c r="F19" s="139">
        <v>1</v>
      </c>
    </row>
    <row r="20" spans="1:6" ht="25.5" hidden="1" x14ac:dyDescent="0.25">
      <c r="A20" s="4" t="s">
        <v>224</v>
      </c>
      <c r="B20" s="82" t="s">
        <v>1224</v>
      </c>
      <c r="C20" s="124" t="s">
        <v>1225</v>
      </c>
      <c r="D20" s="41" t="s">
        <v>230</v>
      </c>
      <c r="E20" s="5" t="s">
        <v>45</v>
      </c>
      <c r="F20" s="139">
        <v>1</v>
      </c>
    </row>
    <row r="21" spans="1:6" hidden="1" x14ac:dyDescent="0.25">
      <c r="A21" s="4" t="s">
        <v>225</v>
      </c>
      <c r="B21" s="82" t="s">
        <v>1262</v>
      </c>
      <c r="C21" s="124" t="s">
        <v>1263</v>
      </c>
      <c r="D21" s="5" t="s">
        <v>358</v>
      </c>
      <c r="E21" s="5" t="s">
        <v>34</v>
      </c>
      <c r="F21" s="139">
        <v>1</v>
      </c>
    </row>
    <row r="22" spans="1:6" ht="25.5" hidden="1" x14ac:dyDescent="0.25">
      <c r="A22" s="4" t="s">
        <v>226</v>
      </c>
      <c r="B22" s="82" t="s">
        <v>1256</v>
      </c>
      <c r="C22" s="124" t="s">
        <v>1029</v>
      </c>
      <c r="D22" s="5" t="s">
        <v>358</v>
      </c>
      <c r="E22" s="5" t="s">
        <v>34</v>
      </c>
      <c r="F22" s="139">
        <v>1</v>
      </c>
    </row>
    <row r="23" spans="1:6" hidden="1" x14ac:dyDescent="0.25">
      <c r="A23" s="4" t="s">
        <v>227</v>
      </c>
      <c r="B23" s="82" t="s">
        <v>1097</v>
      </c>
      <c r="C23" s="124" t="s">
        <v>661</v>
      </c>
      <c r="D23" s="5" t="s">
        <v>360</v>
      </c>
      <c r="E23" s="5" t="s">
        <v>34</v>
      </c>
      <c r="F23" s="139">
        <v>2</v>
      </c>
    </row>
    <row r="24" spans="1:6" hidden="1" x14ac:dyDescent="0.25">
      <c r="A24" s="4" t="s">
        <v>361</v>
      </c>
      <c r="B24" s="82" t="s">
        <v>1271</v>
      </c>
      <c r="C24" s="124" t="s">
        <v>1080</v>
      </c>
      <c r="D24" s="5" t="s">
        <v>358</v>
      </c>
      <c r="E24" s="5" t="s">
        <v>34</v>
      </c>
      <c r="F24" s="139">
        <v>2</v>
      </c>
    </row>
    <row r="25" spans="1:6" hidden="1" x14ac:dyDescent="0.25">
      <c r="A25" s="4" t="s">
        <v>362</v>
      </c>
      <c r="B25" s="82" t="s">
        <v>556</v>
      </c>
      <c r="C25" s="124" t="s">
        <v>990</v>
      </c>
      <c r="D25" s="5" t="s">
        <v>358</v>
      </c>
      <c r="E25" s="5" t="s">
        <v>34</v>
      </c>
      <c r="F25" s="139">
        <v>2</v>
      </c>
    </row>
    <row r="26" spans="1:6" ht="25.5" hidden="1" x14ac:dyDescent="0.25">
      <c r="A26" s="4" t="s">
        <v>363</v>
      </c>
      <c r="B26" s="82" t="s">
        <v>214</v>
      </c>
      <c r="C26" s="124" t="s">
        <v>1098</v>
      </c>
      <c r="D26" s="5" t="s">
        <v>360</v>
      </c>
      <c r="E26" s="5" t="s">
        <v>34</v>
      </c>
      <c r="F26" s="139">
        <v>2</v>
      </c>
    </row>
    <row r="27" spans="1:6" hidden="1" x14ac:dyDescent="0.25">
      <c r="A27" s="4" t="s">
        <v>364</v>
      </c>
      <c r="B27" s="82" t="s">
        <v>557</v>
      </c>
      <c r="C27" s="124" t="s">
        <v>991</v>
      </c>
      <c r="D27" s="5" t="s">
        <v>358</v>
      </c>
      <c r="E27" s="5" t="s">
        <v>34</v>
      </c>
      <c r="F27" s="139">
        <v>4</v>
      </c>
    </row>
    <row r="28" spans="1:6" hidden="1" x14ac:dyDescent="0.25">
      <c r="A28" s="4" t="s">
        <v>365</v>
      </c>
      <c r="B28" s="82" t="s">
        <v>1269</v>
      </c>
      <c r="C28" s="124" t="s">
        <v>1094</v>
      </c>
      <c r="D28" s="5" t="s">
        <v>358</v>
      </c>
      <c r="E28" s="5" t="s">
        <v>34</v>
      </c>
      <c r="F28" s="139">
        <v>1</v>
      </c>
    </row>
    <row r="29" spans="1:6" hidden="1" x14ac:dyDescent="0.25">
      <c r="A29" s="4" t="s">
        <v>366</v>
      </c>
      <c r="B29" s="82" t="s">
        <v>1048</v>
      </c>
      <c r="C29" s="124" t="s">
        <v>1151</v>
      </c>
      <c r="D29" s="5" t="s">
        <v>358</v>
      </c>
      <c r="E29" s="5" t="s">
        <v>34</v>
      </c>
      <c r="F29" s="139">
        <v>1</v>
      </c>
    </row>
    <row r="30" spans="1:6" hidden="1" x14ac:dyDescent="0.25">
      <c r="A30" s="4" t="s">
        <v>367</v>
      </c>
      <c r="B30" s="82" t="s">
        <v>1264</v>
      </c>
      <c r="C30" s="124" t="s">
        <v>1093</v>
      </c>
      <c r="D30" s="5" t="s">
        <v>358</v>
      </c>
      <c r="E30" s="5" t="s">
        <v>34</v>
      </c>
      <c r="F30" s="139">
        <v>1</v>
      </c>
    </row>
    <row r="31" spans="1:6" hidden="1" x14ac:dyDescent="0.25">
      <c r="A31" s="4" t="s">
        <v>368</v>
      </c>
      <c r="B31" s="82" t="s">
        <v>1127</v>
      </c>
      <c r="C31" s="124" t="s">
        <v>1016</v>
      </c>
      <c r="D31" s="5" t="s">
        <v>358</v>
      </c>
      <c r="E31" s="5" t="s">
        <v>34</v>
      </c>
      <c r="F31" s="139">
        <v>1</v>
      </c>
    </row>
    <row r="32" spans="1:6" hidden="1" x14ac:dyDescent="0.25">
      <c r="A32" s="4" t="s">
        <v>369</v>
      </c>
      <c r="B32" s="82" t="s">
        <v>1209</v>
      </c>
      <c r="C32" s="124" t="s">
        <v>1033</v>
      </c>
      <c r="D32" s="5" t="s">
        <v>358</v>
      </c>
      <c r="E32" s="5" t="s">
        <v>34</v>
      </c>
      <c r="F32" s="139">
        <v>1</v>
      </c>
    </row>
    <row r="33" spans="1:6" hidden="1" x14ac:dyDescent="0.25">
      <c r="A33" s="4" t="s">
        <v>370</v>
      </c>
      <c r="B33" s="82" t="s">
        <v>1238</v>
      </c>
      <c r="C33" s="124" t="s">
        <v>1147</v>
      </c>
      <c r="D33" s="41" t="s">
        <v>210</v>
      </c>
      <c r="E33" s="5" t="s">
        <v>37</v>
      </c>
      <c r="F33" s="139">
        <v>11</v>
      </c>
    </row>
    <row r="34" spans="1:6" hidden="1" x14ac:dyDescent="0.25">
      <c r="A34" s="4" t="s">
        <v>371</v>
      </c>
      <c r="B34" s="44" t="s">
        <v>983</v>
      </c>
      <c r="C34" s="127" t="s">
        <v>999</v>
      </c>
      <c r="D34" s="5" t="s">
        <v>210</v>
      </c>
      <c r="E34" s="5" t="s">
        <v>34</v>
      </c>
      <c r="F34" s="139">
        <v>22</v>
      </c>
    </row>
    <row r="35" spans="1:6" hidden="1" x14ac:dyDescent="0.25">
      <c r="A35" s="4" t="s">
        <v>372</v>
      </c>
      <c r="B35" s="45" t="s">
        <v>985</v>
      </c>
      <c r="C35" s="127" t="s">
        <v>582</v>
      </c>
      <c r="D35" s="41" t="s">
        <v>409</v>
      </c>
      <c r="E35" s="5" t="s">
        <v>34</v>
      </c>
      <c r="F35" s="139">
        <v>176</v>
      </c>
    </row>
    <row r="36" spans="1:6" hidden="1" x14ac:dyDescent="0.25">
      <c r="A36" s="4" t="s">
        <v>373</v>
      </c>
      <c r="B36" s="82" t="s">
        <v>988</v>
      </c>
      <c r="C36" s="127" t="s">
        <v>1000</v>
      </c>
      <c r="D36" s="5" t="s">
        <v>210</v>
      </c>
      <c r="E36" s="5" t="s">
        <v>34</v>
      </c>
      <c r="F36" s="139">
        <v>2</v>
      </c>
    </row>
    <row r="37" spans="1:6" hidden="1" x14ac:dyDescent="0.25">
      <c r="A37" s="4" t="s">
        <v>374</v>
      </c>
      <c r="B37" s="45" t="s">
        <v>985</v>
      </c>
      <c r="C37" s="127" t="s">
        <v>582</v>
      </c>
      <c r="D37" s="41" t="s">
        <v>409</v>
      </c>
      <c r="E37" s="5" t="s">
        <v>34</v>
      </c>
      <c r="F37" s="139">
        <v>16</v>
      </c>
    </row>
    <row r="38" spans="1:6" hidden="1" x14ac:dyDescent="0.25">
      <c r="A38" s="4" t="s">
        <v>375</v>
      </c>
      <c r="B38" s="44" t="s">
        <v>984</v>
      </c>
      <c r="C38" s="127" t="s">
        <v>1001</v>
      </c>
      <c r="D38" s="5" t="s">
        <v>210</v>
      </c>
      <c r="E38" s="5" t="s">
        <v>34</v>
      </c>
      <c r="F38" s="139">
        <v>6</v>
      </c>
    </row>
    <row r="39" spans="1:6" hidden="1" x14ac:dyDescent="0.25">
      <c r="A39" s="4" t="s">
        <v>1179</v>
      </c>
      <c r="B39" s="45" t="s">
        <v>986</v>
      </c>
      <c r="C39" s="127" t="s">
        <v>583</v>
      </c>
      <c r="D39" s="41" t="s">
        <v>409</v>
      </c>
      <c r="E39" s="5" t="s">
        <v>34</v>
      </c>
      <c r="F39" s="139">
        <v>48</v>
      </c>
    </row>
    <row r="40" spans="1:6" hidden="1" x14ac:dyDescent="0.25">
      <c r="A40" s="52" t="s">
        <v>8</v>
      </c>
      <c r="B40" s="57"/>
      <c r="C40" s="126" t="s">
        <v>534</v>
      </c>
      <c r="D40" s="77"/>
      <c r="E40" s="54"/>
      <c r="F40" s="137"/>
    </row>
    <row r="41" spans="1:6" ht="25.5" hidden="1" x14ac:dyDescent="0.25">
      <c r="A41" s="4" t="s">
        <v>287</v>
      </c>
      <c r="B41" s="82" t="s">
        <v>558</v>
      </c>
      <c r="C41" s="124" t="s">
        <v>443</v>
      </c>
      <c r="D41" s="5" t="s">
        <v>230</v>
      </c>
      <c r="E41" s="5" t="s">
        <v>37</v>
      </c>
      <c r="F41" s="139">
        <v>155</v>
      </c>
    </row>
    <row r="42" spans="1:6" ht="25.5" hidden="1" x14ac:dyDescent="0.25">
      <c r="A42" s="4" t="s">
        <v>535</v>
      </c>
      <c r="B42" s="82" t="s">
        <v>558</v>
      </c>
      <c r="C42" s="124" t="s">
        <v>444</v>
      </c>
      <c r="D42" s="5" t="s">
        <v>230</v>
      </c>
      <c r="E42" s="5" t="s">
        <v>37</v>
      </c>
      <c r="F42" s="139">
        <v>155</v>
      </c>
    </row>
    <row r="43" spans="1:6" ht="25.5" hidden="1" x14ac:dyDescent="0.25">
      <c r="A43" s="4" t="s">
        <v>536</v>
      </c>
      <c r="B43" s="82" t="s">
        <v>558</v>
      </c>
      <c r="C43" s="124" t="s">
        <v>445</v>
      </c>
      <c r="D43" s="5" t="s">
        <v>230</v>
      </c>
      <c r="E43" s="5" t="s">
        <v>37</v>
      </c>
      <c r="F43" s="139">
        <v>155</v>
      </c>
    </row>
    <row r="44" spans="1:6" ht="25.5" hidden="1" x14ac:dyDescent="0.25">
      <c r="A44" s="4" t="s">
        <v>537</v>
      </c>
      <c r="B44" s="82" t="s">
        <v>559</v>
      </c>
      <c r="C44" s="124" t="s">
        <v>446</v>
      </c>
      <c r="D44" s="5" t="s">
        <v>230</v>
      </c>
      <c r="E44" s="5" t="s">
        <v>37</v>
      </c>
      <c r="F44" s="139">
        <f>6*170</f>
        <v>1020</v>
      </c>
    </row>
    <row r="45" spans="1:6" ht="14.25" hidden="1" customHeight="1" x14ac:dyDescent="0.25">
      <c r="A45" s="4" t="s">
        <v>538</v>
      </c>
      <c r="B45" s="82" t="s">
        <v>559</v>
      </c>
      <c r="C45" s="124" t="s">
        <v>448</v>
      </c>
      <c r="D45" s="5" t="s">
        <v>230</v>
      </c>
      <c r="E45" s="5" t="s">
        <v>37</v>
      </c>
      <c r="F45" s="139">
        <f>2*170</f>
        <v>340</v>
      </c>
    </row>
    <row r="46" spans="1:6" hidden="1" x14ac:dyDescent="0.25">
      <c r="A46" s="4" t="s">
        <v>539</v>
      </c>
      <c r="B46" s="82" t="s">
        <v>560</v>
      </c>
      <c r="C46" s="124" t="s">
        <v>462</v>
      </c>
      <c r="D46" s="5" t="s">
        <v>230</v>
      </c>
      <c r="E46" s="5" t="s">
        <v>37</v>
      </c>
      <c r="F46" s="139">
        <v>5</v>
      </c>
    </row>
    <row r="47" spans="1:6" hidden="1" x14ac:dyDescent="0.25">
      <c r="A47" s="4" t="s">
        <v>540</v>
      </c>
      <c r="B47" s="82" t="s">
        <v>562</v>
      </c>
      <c r="C47" s="124" t="s">
        <v>561</v>
      </c>
      <c r="D47" s="5" t="s">
        <v>230</v>
      </c>
      <c r="E47" s="5" t="s">
        <v>37</v>
      </c>
      <c r="F47" s="139">
        <v>170</v>
      </c>
    </row>
    <row r="48" spans="1:6" hidden="1" x14ac:dyDescent="0.25">
      <c r="A48" s="4" t="s">
        <v>541</v>
      </c>
      <c r="B48" s="82" t="s">
        <v>563</v>
      </c>
      <c r="C48" s="124" t="s">
        <v>662</v>
      </c>
      <c r="D48" s="5" t="s">
        <v>230</v>
      </c>
      <c r="E48" s="5" t="s">
        <v>37</v>
      </c>
      <c r="F48" s="139">
        <v>2</v>
      </c>
    </row>
    <row r="49" spans="1:6" hidden="1" x14ac:dyDescent="0.25">
      <c r="A49" s="4" t="s">
        <v>542</v>
      </c>
      <c r="B49" s="82" t="s">
        <v>564</v>
      </c>
      <c r="C49" s="124" t="s">
        <v>1107</v>
      </c>
      <c r="D49" s="5" t="s">
        <v>230</v>
      </c>
      <c r="E49" s="5" t="s">
        <v>35</v>
      </c>
      <c r="F49" s="139">
        <v>2</v>
      </c>
    </row>
    <row r="50" spans="1:6" hidden="1" x14ac:dyDescent="0.25">
      <c r="A50" s="4" t="s">
        <v>543</v>
      </c>
      <c r="B50" s="82" t="s">
        <v>565</v>
      </c>
      <c r="C50" s="124" t="s">
        <v>1108</v>
      </c>
      <c r="D50" s="5" t="s">
        <v>230</v>
      </c>
      <c r="E50" s="5" t="s">
        <v>35</v>
      </c>
      <c r="F50" s="139">
        <v>60</v>
      </c>
    </row>
    <row r="51" spans="1:6" ht="25.5" hidden="1" x14ac:dyDescent="0.25">
      <c r="A51" s="4" t="s">
        <v>544</v>
      </c>
      <c r="B51" s="82" t="s">
        <v>566</v>
      </c>
      <c r="C51" s="124" t="s">
        <v>477</v>
      </c>
      <c r="D51" s="5" t="s">
        <v>230</v>
      </c>
      <c r="E51" s="5" t="s">
        <v>37</v>
      </c>
      <c r="F51" s="139">
        <v>7</v>
      </c>
    </row>
    <row r="52" spans="1:6" hidden="1" x14ac:dyDescent="0.25">
      <c r="A52" s="4" t="s">
        <v>545</v>
      </c>
      <c r="B52" s="82" t="s">
        <v>567</v>
      </c>
      <c r="C52" s="124" t="s">
        <v>989</v>
      </c>
      <c r="D52" s="5" t="s">
        <v>230</v>
      </c>
      <c r="E52" s="5" t="s">
        <v>35</v>
      </c>
      <c r="F52" s="139">
        <v>1</v>
      </c>
    </row>
    <row r="53" spans="1:6" ht="12.75" hidden="1" customHeight="1" x14ac:dyDescent="0.25">
      <c r="A53" s="4" t="s">
        <v>546</v>
      </c>
      <c r="B53" s="82" t="s">
        <v>568</v>
      </c>
      <c r="C53" s="124" t="s">
        <v>485</v>
      </c>
      <c r="D53" s="5" t="s">
        <v>230</v>
      </c>
      <c r="E53" s="5" t="s">
        <v>35</v>
      </c>
      <c r="F53" s="139">
        <v>3</v>
      </c>
    </row>
    <row r="54" spans="1:6" hidden="1" x14ac:dyDescent="0.25">
      <c r="A54" s="4" t="s">
        <v>547</v>
      </c>
      <c r="B54" s="82" t="s">
        <v>569</v>
      </c>
      <c r="C54" s="124" t="s">
        <v>486</v>
      </c>
      <c r="D54" s="5" t="s">
        <v>230</v>
      </c>
      <c r="E54" s="5" t="s">
        <v>487</v>
      </c>
      <c r="F54" s="139">
        <v>0.15</v>
      </c>
    </row>
    <row r="55" spans="1:6" hidden="1" x14ac:dyDescent="0.25">
      <c r="A55" s="4" t="s">
        <v>548</v>
      </c>
      <c r="B55" s="82" t="s">
        <v>570</v>
      </c>
      <c r="C55" s="124" t="s">
        <v>488</v>
      </c>
      <c r="D55" s="5" t="s">
        <v>230</v>
      </c>
      <c r="E55" s="5" t="s">
        <v>35</v>
      </c>
      <c r="F55" s="139">
        <v>1</v>
      </c>
    </row>
    <row r="56" spans="1:6" hidden="1" x14ac:dyDescent="0.25">
      <c r="A56" s="4" t="s">
        <v>549</v>
      </c>
      <c r="B56" s="82" t="s">
        <v>571</v>
      </c>
      <c r="C56" s="124" t="s">
        <v>496</v>
      </c>
      <c r="D56" s="5" t="s">
        <v>230</v>
      </c>
      <c r="E56" s="5" t="s">
        <v>35</v>
      </c>
      <c r="F56" s="139">
        <v>1</v>
      </c>
    </row>
    <row r="57" spans="1:6" hidden="1" x14ac:dyDescent="0.25">
      <c r="A57" s="4" t="s">
        <v>550</v>
      </c>
      <c r="B57" s="82" t="s">
        <v>572</v>
      </c>
      <c r="C57" s="124" t="s">
        <v>497</v>
      </c>
      <c r="D57" s="5" t="s">
        <v>230</v>
      </c>
      <c r="E57" s="5" t="s">
        <v>35</v>
      </c>
      <c r="F57" s="139">
        <v>2</v>
      </c>
    </row>
    <row r="58" spans="1:6" hidden="1" x14ac:dyDescent="0.25">
      <c r="A58" s="4" t="s">
        <v>551</v>
      </c>
      <c r="B58" s="82" t="s">
        <v>573</v>
      </c>
      <c r="C58" s="124" t="s">
        <v>498</v>
      </c>
      <c r="D58" s="5" t="s">
        <v>230</v>
      </c>
      <c r="E58" s="5" t="s">
        <v>35</v>
      </c>
      <c r="F58" s="139">
        <v>2</v>
      </c>
    </row>
    <row r="59" spans="1:6" ht="25.5" hidden="1" x14ac:dyDescent="0.25">
      <c r="A59" s="4" t="s">
        <v>552</v>
      </c>
      <c r="B59" s="82" t="s">
        <v>574</v>
      </c>
      <c r="C59" s="124" t="s">
        <v>499</v>
      </c>
      <c r="D59" s="5" t="s">
        <v>230</v>
      </c>
      <c r="E59" s="5" t="s">
        <v>35</v>
      </c>
      <c r="F59" s="139">
        <v>2</v>
      </c>
    </row>
    <row r="60" spans="1:6" ht="89.25" x14ac:dyDescent="0.25">
      <c r="A60" s="4" t="s">
        <v>553</v>
      </c>
      <c r="B60" s="82" t="s">
        <v>1312</v>
      </c>
      <c r="C60" s="128" t="s">
        <v>1314</v>
      </c>
      <c r="D60" s="5" t="s">
        <v>230</v>
      </c>
      <c r="E60" s="5" t="s">
        <v>35</v>
      </c>
      <c r="F60" s="139">
        <v>1</v>
      </c>
    </row>
    <row r="61" spans="1:6" ht="25.5" hidden="1" x14ac:dyDescent="0.25">
      <c r="A61" s="4" t="s">
        <v>554</v>
      </c>
      <c r="B61" s="82" t="s">
        <v>663</v>
      </c>
      <c r="C61" s="124" t="s">
        <v>664</v>
      </c>
      <c r="D61" s="5" t="s">
        <v>230</v>
      </c>
      <c r="E61" s="5" t="s">
        <v>35</v>
      </c>
      <c r="F61" s="139">
        <v>1</v>
      </c>
    </row>
    <row r="62" spans="1:6" hidden="1" x14ac:dyDescent="0.25">
      <c r="A62" s="4" t="s">
        <v>665</v>
      </c>
      <c r="B62" s="82" t="s">
        <v>603</v>
      </c>
      <c r="C62" s="124" t="s">
        <v>460</v>
      </c>
      <c r="D62" s="5" t="s">
        <v>230</v>
      </c>
      <c r="E62" s="5" t="s">
        <v>35</v>
      </c>
      <c r="F62" s="139">
        <v>1</v>
      </c>
    </row>
    <row r="63" spans="1:6" hidden="1" x14ac:dyDescent="0.25">
      <c r="A63" s="66" t="s">
        <v>232</v>
      </c>
      <c r="B63" s="83"/>
      <c r="C63" s="129" t="s">
        <v>428</v>
      </c>
      <c r="D63" s="63"/>
      <c r="E63" s="65"/>
      <c r="F63" s="140"/>
    </row>
    <row r="64" spans="1:6" hidden="1" x14ac:dyDescent="0.25">
      <c r="A64" s="52" t="s">
        <v>9</v>
      </c>
      <c r="B64" s="57"/>
      <c r="C64" s="126" t="s">
        <v>272</v>
      </c>
      <c r="D64" s="77"/>
      <c r="E64" s="54"/>
      <c r="F64" s="137"/>
    </row>
    <row r="65" spans="1:6" hidden="1" x14ac:dyDescent="0.25">
      <c r="A65" s="4" t="s">
        <v>142</v>
      </c>
      <c r="B65" s="82" t="s">
        <v>212</v>
      </c>
      <c r="C65" s="124" t="s">
        <v>575</v>
      </c>
      <c r="D65" s="5" t="s">
        <v>763</v>
      </c>
      <c r="E65" s="38" t="s">
        <v>37</v>
      </c>
      <c r="F65" s="141">
        <v>162</v>
      </c>
    </row>
    <row r="66" spans="1:6" hidden="1" x14ac:dyDescent="0.25">
      <c r="A66" s="4" t="s">
        <v>233</v>
      </c>
      <c r="B66" s="82" t="s">
        <v>1181</v>
      </c>
      <c r="C66" s="124" t="s">
        <v>1180</v>
      </c>
      <c r="D66" s="5" t="s">
        <v>210</v>
      </c>
      <c r="E66" s="48" t="s">
        <v>35</v>
      </c>
      <c r="F66" s="138">
        <v>30</v>
      </c>
    </row>
    <row r="67" spans="1:6" hidden="1" x14ac:dyDescent="0.25">
      <c r="A67" s="4" t="s">
        <v>425</v>
      </c>
      <c r="B67" s="82" t="s">
        <v>1013</v>
      </c>
      <c r="C67" s="130" t="s">
        <v>1017</v>
      </c>
      <c r="D67" s="15" t="s">
        <v>358</v>
      </c>
      <c r="E67" s="38" t="s">
        <v>34</v>
      </c>
      <c r="F67" s="141">
        <v>1</v>
      </c>
    </row>
    <row r="68" spans="1:6" hidden="1" x14ac:dyDescent="0.25">
      <c r="A68" s="4" t="s">
        <v>426</v>
      </c>
      <c r="B68" s="44" t="s">
        <v>1254</v>
      </c>
      <c r="C68" s="130" t="s">
        <v>1018</v>
      </c>
      <c r="D68" s="15" t="s">
        <v>358</v>
      </c>
      <c r="E68" s="38" t="s">
        <v>34</v>
      </c>
      <c r="F68" s="141">
        <v>1</v>
      </c>
    </row>
    <row r="69" spans="1:6" hidden="1" x14ac:dyDescent="0.25">
      <c r="A69" s="4" t="s">
        <v>1182</v>
      </c>
      <c r="B69" s="44" t="s">
        <v>1015</v>
      </c>
      <c r="C69" s="130" t="s">
        <v>1019</v>
      </c>
      <c r="D69" s="15" t="s">
        <v>358</v>
      </c>
      <c r="E69" s="38" t="s">
        <v>34</v>
      </c>
      <c r="F69" s="141">
        <v>3</v>
      </c>
    </row>
    <row r="70" spans="1:6" hidden="1" x14ac:dyDescent="0.25">
      <c r="A70" s="66" t="s">
        <v>47</v>
      </c>
      <c r="B70" s="61"/>
      <c r="C70" s="131" t="s">
        <v>162</v>
      </c>
      <c r="D70" s="63"/>
      <c r="E70" s="64"/>
      <c r="F70" s="140"/>
    </row>
    <row r="71" spans="1:6" ht="25.5" hidden="1" x14ac:dyDescent="0.25">
      <c r="A71" s="52" t="s">
        <v>48</v>
      </c>
      <c r="B71" s="57"/>
      <c r="C71" s="126" t="s">
        <v>716</v>
      </c>
      <c r="D71" s="77"/>
      <c r="E71" s="54"/>
      <c r="F71" s="137"/>
    </row>
    <row r="72" spans="1:6" hidden="1" x14ac:dyDescent="0.25">
      <c r="A72" s="4" t="s">
        <v>145</v>
      </c>
      <c r="B72" s="82" t="s">
        <v>1015</v>
      </c>
      <c r="C72" s="132" t="s">
        <v>1019</v>
      </c>
      <c r="D72" s="41" t="s">
        <v>379</v>
      </c>
      <c r="E72" s="5" t="s">
        <v>34</v>
      </c>
      <c r="F72" s="139">
        <v>2</v>
      </c>
    </row>
    <row r="73" spans="1:6" hidden="1" x14ac:dyDescent="0.25">
      <c r="A73" s="4" t="s">
        <v>178</v>
      </c>
      <c r="B73" s="82" t="s">
        <v>212</v>
      </c>
      <c r="C73" s="124" t="s">
        <v>575</v>
      </c>
      <c r="D73" s="5" t="s">
        <v>763</v>
      </c>
      <c r="E73" s="5" t="s">
        <v>37</v>
      </c>
      <c r="F73" s="139">
        <v>12</v>
      </c>
    </row>
    <row r="74" spans="1:6" hidden="1" x14ac:dyDescent="0.25">
      <c r="A74" s="4" t="s">
        <v>161</v>
      </c>
      <c r="B74" s="82" t="s">
        <v>1181</v>
      </c>
      <c r="C74" s="124" t="s">
        <v>1180</v>
      </c>
      <c r="D74" s="5" t="s">
        <v>210</v>
      </c>
      <c r="E74" s="48" t="s">
        <v>35</v>
      </c>
      <c r="F74" s="138">
        <v>10</v>
      </c>
    </row>
    <row r="75" spans="1:6" hidden="1" x14ac:dyDescent="0.25">
      <c r="A75" s="4" t="s">
        <v>380</v>
      </c>
      <c r="B75" s="82" t="s">
        <v>1249</v>
      </c>
      <c r="C75" s="132" t="s">
        <v>1197</v>
      </c>
      <c r="D75" s="41" t="s">
        <v>379</v>
      </c>
      <c r="E75" s="5" t="s">
        <v>34</v>
      </c>
      <c r="F75" s="139">
        <v>1</v>
      </c>
    </row>
    <row r="76" spans="1:6" hidden="1" x14ac:dyDescent="0.25">
      <c r="A76" s="4" t="s">
        <v>381</v>
      </c>
      <c r="B76" s="82" t="s">
        <v>576</v>
      </c>
      <c r="C76" s="132" t="s">
        <v>1106</v>
      </c>
      <c r="D76" s="41" t="s">
        <v>391</v>
      </c>
      <c r="E76" s="5" t="s">
        <v>34</v>
      </c>
      <c r="F76" s="139">
        <v>1</v>
      </c>
    </row>
    <row r="77" spans="1:6" ht="12.75" hidden="1" customHeight="1" x14ac:dyDescent="0.25">
      <c r="A77" s="4" t="s">
        <v>382</v>
      </c>
      <c r="B77" s="82" t="s">
        <v>578</v>
      </c>
      <c r="C77" s="124" t="s">
        <v>577</v>
      </c>
      <c r="D77" s="41" t="s">
        <v>392</v>
      </c>
      <c r="E77" s="5" t="s">
        <v>34</v>
      </c>
      <c r="F77" s="139">
        <v>1</v>
      </c>
    </row>
    <row r="78" spans="1:6" hidden="1" x14ac:dyDescent="0.25">
      <c r="A78" s="4" t="s">
        <v>383</v>
      </c>
      <c r="B78" s="82" t="s">
        <v>1046</v>
      </c>
      <c r="C78" s="132" t="s">
        <v>1152</v>
      </c>
      <c r="D78" s="41" t="s">
        <v>379</v>
      </c>
      <c r="E78" s="5" t="s">
        <v>34</v>
      </c>
      <c r="F78" s="139">
        <v>2</v>
      </c>
    </row>
    <row r="79" spans="1:6" hidden="1" x14ac:dyDescent="0.25">
      <c r="A79" s="4" t="s">
        <v>384</v>
      </c>
      <c r="B79" s="82" t="s">
        <v>1206</v>
      </c>
      <c r="C79" s="132" t="s">
        <v>1145</v>
      </c>
      <c r="D79" s="41" t="s">
        <v>379</v>
      </c>
      <c r="E79" s="5" t="s">
        <v>34</v>
      </c>
      <c r="F79" s="139">
        <v>4</v>
      </c>
    </row>
    <row r="80" spans="1:6" hidden="1" x14ac:dyDescent="0.25">
      <c r="A80" s="4" t="s">
        <v>385</v>
      </c>
      <c r="B80" s="82" t="s">
        <v>1127</v>
      </c>
      <c r="C80" s="132" t="s">
        <v>1016</v>
      </c>
      <c r="D80" s="41" t="s">
        <v>379</v>
      </c>
      <c r="E80" s="5" t="s">
        <v>34</v>
      </c>
      <c r="F80" s="139">
        <v>4</v>
      </c>
    </row>
    <row r="81" spans="1:6" hidden="1" x14ac:dyDescent="0.25">
      <c r="A81" s="4" t="s">
        <v>386</v>
      </c>
      <c r="B81" s="45" t="s">
        <v>1267</v>
      </c>
      <c r="C81" s="132" t="s">
        <v>1092</v>
      </c>
      <c r="D81" s="41" t="s">
        <v>379</v>
      </c>
      <c r="E81" s="5" t="s">
        <v>34</v>
      </c>
      <c r="F81" s="139">
        <v>2</v>
      </c>
    </row>
    <row r="82" spans="1:6" hidden="1" x14ac:dyDescent="0.25">
      <c r="A82" s="4" t="s">
        <v>387</v>
      </c>
      <c r="B82" s="82" t="s">
        <v>557</v>
      </c>
      <c r="C82" s="127" t="s">
        <v>991</v>
      </c>
      <c r="D82" s="40" t="s">
        <v>379</v>
      </c>
      <c r="E82" s="37" t="s">
        <v>34</v>
      </c>
      <c r="F82" s="141">
        <v>4</v>
      </c>
    </row>
    <row r="83" spans="1:6" hidden="1" x14ac:dyDescent="0.25">
      <c r="A83" s="4" t="s">
        <v>388</v>
      </c>
      <c r="B83" s="45" t="s">
        <v>1236</v>
      </c>
      <c r="C83" s="127" t="s">
        <v>1091</v>
      </c>
      <c r="D83" s="40" t="s">
        <v>379</v>
      </c>
      <c r="E83" s="37" t="s">
        <v>34</v>
      </c>
      <c r="F83" s="141">
        <v>2</v>
      </c>
    </row>
    <row r="84" spans="1:6" hidden="1" x14ac:dyDescent="0.25">
      <c r="A84" s="4" t="s">
        <v>389</v>
      </c>
      <c r="B84" s="45" t="s">
        <v>1265</v>
      </c>
      <c r="C84" s="127" t="s">
        <v>1090</v>
      </c>
      <c r="D84" s="40" t="s">
        <v>379</v>
      </c>
      <c r="E84" s="37" t="s">
        <v>34</v>
      </c>
      <c r="F84" s="141">
        <v>2</v>
      </c>
    </row>
    <row r="85" spans="1:6" hidden="1" x14ac:dyDescent="0.25">
      <c r="A85" s="4" t="s">
        <v>390</v>
      </c>
      <c r="B85" s="44" t="s">
        <v>983</v>
      </c>
      <c r="C85" s="127" t="s">
        <v>999</v>
      </c>
      <c r="D85" s="40" t="s">
        <v>210</v>
      </c>
      <c r="E85" s="37" t="s">
        <v>34</v>
      </c>
      <c r="F85" s="141">
        <v>18</v>
      </c>
    </row>
    <row r="86" spans="1:6" hidden="1" x14ac:dyDescent="0.25">
      <c r="A86" s="4" t="s">
        <v>1183</v>
      </c>
      <c r="B86" s="45" t="s">
        <v>985</v>
      </c>
      <c r="C86" s="127" t="s">
        <v>582</v>
      </c>
      <c r="D86" s="41" t="s">
        <v>409</v>
      </c>
      <c r="E86" s="37" t="s">
        <v>34</v>
      </c>
      <c r="F86" s="141">
        <v>144</v>
      </c>
    </row>
    <row r="87" spans="1:6" hidden="1" x14ac:dyDescent="0.25">
      <c r="A87" s="52" t="s">
        <v>49</v>
      </c>
      <c r="B87" s="57"/>
      <c r="C87" s="126" t="s">
        <v>734</v>
      </c>
      <c r="D87" s="77"/>
      <c r="E87" s="54"/>
      <c r="F87" s="137"/>
    </row>
    <row r="88" spans="1:6" hidden="1" x14ac:dyDescent="0.25">
      <c r="A88" s="4" t="s">
        <v>74</v>
      </c>
      <c r="B88" s="82" t="s">
        <v>1209</v>
      </c>
      <c r="C88" s="124" t="s">
        <v>1033</v>
      </c>
      <c r="D88" s="41" t="s">
        <v>379</v>
      </c>
      <c r="E88" s="5" t="s">
        <v>34</v>
      </c>
      <c r="F88" s="139">
        <v>1</v>
      </c>
    </row>
    <row r="89" spans="1:6" hidden="1" x14ac:dyDescent="0.25">
      <c r="A89" s="4" t="s">
        <v>75</v>
      </c>
      <c r="B89" s="82" t="s">
        <v>1127</v>
      </c>
      <c r="C89" s="124" t="s">
        <v>1016</v>
      </c>
      <c r="D89" s="41" t="s">
        <v>379</v>
      </c>
      <c r="E89" s="5" t="s">
        <v>34</v>
      </c>
      <c r="F89" s="139">
        <v>1</v>
      </c>
    </row>
    <row r="90" spans="1:6" hidden="1" x14ac:dyDescent="0.25">
      <c r="A90" s="4" t="s">
        <v>76</v>
      </c>
      <c r="B90" s="82" t="s">
        <v>1075</v>
      </c>
      <c r="C90" s="124" t="s">
        <v>1089</v>
      </c>
      <c r="D90" s="41" t="s">
        <v>379</v>
      </c>
      <c r="E90" s="5" t="s">
        <v>34</v>
      </c>
      <c r="F90" s="139">
        <v>2</v>
      </c>
    </row>
    <row r="91" spans="1:6" hidden="1" x14ac:dyDescent="0.25">
      <c r="A91" s="4" t="s">
        <v>77</v>
      </c>
      <c r="B91" s="82" t="s">
        <v>557</v>
      </c>
      <c r="C91" s="124" t="s">
        <v>991</v>
      </c>
      <c r="D91" s="41" t="s">
        <v>379</v>
      </c>
      <c r="E91" s="5" t="s">
        <v>34</v>
      </c>
      <c r="F91" s="139">
        <v>3</v>
      </c>
    </row>
    <row r="92" spans="1:6" hidden="1" x14ac:dyDescent="0.25">
      <c r="A92" s="4" t="s">
        <v>78</v>
      </c>
      <c r="B92" s="82" t="s">
        <v>1212</v>
      </c>
      <c r="C92" s="124" t="s">
        <v>1311</v>
      </c>
      <c r="D92" s="41" t="s">
        <v>379</v>
      </c>
      <c r="E92" s="5" t="s">
        <v>34</v>
      </c>
      <c r="F92" s="139">
        <v>1</v>
      </c>
    </row>
    <row r="93" spans="1:6" ht="25.5" hidden="1" x14ac:dyDescent="0.25">
      <c r="A93" s="4" t="s">
        <v>79</v>
      </c>
      <c r="B93" s="82" t="s">
        <v>1227</v>
      </c>
      <c r="C93" s="124" t="s">
        <v>1228</v>
      </c>
      <c r="D93" s="5" t="s">
        <v>230</v>
      </c>
      <c r="E93" s="5" t="s">
        <v>34</v>
      </c>
      <c r="F93" s="139">
        <v>1</v>
      </c>
    </row>
    <row r="94" spans="1:6" hidden="1" x14ac:dyDescent="0.25">
      <c r="A94" s="4" t="s">
        <v>234</v>
      </c>
      <c r="B94" s="82" t="s">
        <v>1207</v>
      </c>
      <c r="C94" s="124" t="s">
        <v>1027</v>
      </c>
      <c r="D94" s="41" t="s">
        <v>358</v>
      </c>
      <c r="E94" s="5" t="s">
        <v>34</v>
      </c>
      <c r="F94" s="139">
        <v>1</v>
      </c>
    </row>
    <row r="95" spans="1:6" hidden="1" x14ac:dyDescent="0.25">
      <c r="A95" s="4" t="s">
        <v>235</v>
      </c>
      <c r="B95" s="82" t="s">
        <v>1205</v>
      </c>
      <c r="C95" s="124" t="s">
        <v>1030</v>
      </c>
      <c r="D95" s="41" t="s">
        <v>358</v>
      </c>
      <c r="E95" s="5" t="s">
        <v>34</v>
      </c>
      <c r="F95" s="139">
        <v>1</v>
      </c>
    </row>
    <row r="96" spans="1:6" hidden="1" x14ac:dyDescent="0.25">
      <c r="A96" s="4" t="s">
        <v>236</v>
      </c>
      <c r="B96" s="13" t="s">
        <v>1076</v>
      </c>
      <c r="C96" s="124" t="s">
        <v>1083</v>
      </c>
      <c r="D96" s="41" t="s">
        <v>379</v>
      </c>
      <c r="E96" s="5" t="s">
        <v>34</v>
      </c>
      <c r="F96" s="139">
        <v>1</v>
      </c>
    </row>
    <row r="97" spans="1:6" hidden="1" x14ac:dyDescent="0.25">
      <c r="A97" s="4" t="s">
        <v>915</v>
      </c>
      <c r="B97" s="13" t="s">
        <v>1124</v>
      </c>
      <c r="C97" s="124" t="s">
        <v>993</v>
      </c>
      <c r="D97" s="41" t="s">
        <v>379</v>
      </c>
      <c r="E97" s="5" t="s">
        <v>34</v>
      </c>
      <c r="F97" s="139">
        <v>1</v>
      </c>
    </row>
    <row r="98" spans="1:6" hidden="1" x14ac:dyDescent="0.25">
      <c r="A98" s="4" t="s">
        <v>916</v>
      </c>
      <c r="B98" s="82" t="s">
        <v>1277</v>
      </c>
      <c r="C98" s="124" t="s">
        <v>1084</v>
      </c>
      <c r="D98" s="41" t="s">
        <v>379</v>
      </c>
      <c r="E98" s="5" t="s">
        <v>34</v>
      </c>
      <c r="F98" s="139">
        <v>1</v>
      </c>
    </row>
    <row r="99" spans="1:6" hidden="1" x14ac:dyDescent="0.25">
      <c r="A99" s="4" t="s">
        <v>917</v>
      </c>
      <c r="B99" s="82" t="s">
        <v>1126</v>
      </c>
      <c r="C99" s="124" t="s">
        <v>996</v>
      </c>
      <c r="D99" s="41" t="s">
        <v>379</v>
      </c>
      <c r="E99" s="5" t="s">
        <v>34</v>
      </c>
      <c r="F99" s="139">
        <v>1</v>
      </c>
    </row>
    <row r="100" spans="1:6" hidden="1" x14ac:dyDescent="0.25">
      <c r="A100" s="4" t="s">
        <v>237</v>
      </c>
      <c r="B100" s="82" t="s">
        <v>1272</v>
      </c>
      <c r="C100" s="124" t="s">
        <v>1088</v>
      </c>
      <c r="D100" s="41" t="s">
        <v>379</v>
      </c>
      <c r="E100" s="5" t="s">
        <v>34</v>
      </c>
      <c r="F100" s="139">
        <v>2</v>
      </c>
    </row>
    <row r="101" spans="1:6" hidden="1" x14ac:dyDescent="0.25">
      <c r="A101" s="4" t="s">
        <v>238</v>
      </c>
      <c r="B101" s="82" t="s">
        <v>556</v>
      </c>
      <c r="C101" s="124" t="s">
        <v>990</v>
      </c>
      <c r="D101" s="41" t="s">
        <v>379</v>
      </c>
      <c r="E101" s="5" t="s">
        <v>34</v>
      </c>
      <c r="F101" s="139">
        <v>1</v>
      </c>
    </row>
    <row r="102" spans="1:6" hidden="1" x14ac:dyDescent="0.25">
      <c r="A102" s="4" t="s">
        <v>918</v>
      </c>
      <c r="B102" s="123" t="s">
        <v>581</v>
      </c>
      <c r="C102" s="124" t="s">
        <v>997</v>
      </c>
      <c r="D102" s="41" t="s">
        <v>379</v>
      </c>
      <c r="E102" s="5" t="s">
        <v>34</v>
      </c>
      <c r="F102" s="139">
        <v>1</v>
      </c>
    </row>
    <row r="103" spans="1:6" hidden="1" x14ac:dyDescent="0.25">
      <c r="A103" s="4" t="s">
        <v>919</v>
      </c>
      <c r="B103" s="44" t="s">
        <v>983</v>
      </c>
      <c r="C103" s="127" t="s">
        <v>999</v>
      </c>
      <c r="D103" s="41" t="s">
        <v>210</v>
      </c>
      <c r="E103" s="5" t="s">
        <v>34</v>
      </c>
      <c r="F103" s="139">
        <v>9</v>
      </c>
    </row>
    <row r="104" spans="1:6" hidden="1" x14ac:dyDescent="0.25">
      <c r="A104" s="4" t="s">
        <v>920</v>
      </c>
      <c r="B104" s="45" t="s">
        <v>985</v>
      </c>
      <c r="C104" s="127" t="s">
        <v>582</v>
      </c>
      <c r="D104" s="41" t="s">
        <v>409</v>
      </c>
      <c r="E104" s="5" t="s">
        <v>34</v>
      </c>
      <c r="F104" s="139">
        <v>72</v>
      </c>
    </row>
    <row r="105" spans="1:6" hidden="1" x14ac:dyDescent="0.25">
      <c r="A105" s="4" t="s">
        <v>921</v>
      </c>
      <c r="B105" s="13" t="s">
        <v>984</v>
      </c>
      <c r="C105" s="127" t="s">
        <v>1001</v>
      </c>
      <c r="D105" s="41" t="s">
        <v>210</v>
      </c>
      <c r="E105" s="5" t="s">
        <v>34</v>
      </c>
      <c r="F105" s="139">
        <v>5</v>
      </c>
    </row>
    <row r="106" spans="1:6" hidden="1" x14ac:dyDescent="0.25">
      <c r="A106" s="4" t="s">
        <v>922</v>
      </c>
      <c r="B106" s="45" t="s">
        <v>985</v>
      </c>
      <c r="C106" s="127" t="s">
        <v>582</v>
      </c>
      <c r="D106" s="41" t="s">
        <v>409</v>
      </c>
      <c r="E106" s="5" t="s">
        <v>34</v>
      </c>
      <c r="F106" s="139">
        <v>40</v>
      </c>
    </row>
    <row r="107" spans="1:6" hidden="1" x14ac:dyDescent="0.25">
      <c r="A107" s="4" t="s">
        <v>923</v>
      </c>
      <c r="B107" s="13" t="s">
        <v>998</v>
      </c>
      <c r="C107" s="127" t="s">
        <v>1002</v>
      </c>
      <c r="D107" s="41" t="s">
        <v>210</v>
      </c>
      <c r="E107" s="5" t="s">
        <v>34</v>
      </c>
      <c r="F107" s="139">
        <v>5</v>
      </c>
    </row>
    <row r="108" spans="1:6" hidden="1" x14ac:dyDescent="0.25">
      <c r="A108" s="4" t="s">
        <v>924</v>
      </c>
      <c r="B108" s="45" t="s">
        <v>986</v>
      </c>
      <c r="C108" s="127" t="s">
        <v>583</v>
      </c>
      <c r="D108" s="41" t="s">
        <v>409</v>
      </c>
      <c r="E108" s="5" t="s">
        <v>34</v>
      </c>
      <c r="F108" s="139">
        <v>40</v>
      </c>
    </row>
    <row r="109" spans="1:6" hidden="1" x14ac:dyDescent="0.25">
      <c r="A109" s="52" t="s">
        <v>50</v>
      </c>
      <c r="B109" s="57"/>
      <c r="C109" s="126" t="s">
        <v>394</v>
      </c>
      <c r="D109" s="77"/>
      <c r="E109" s="54"/>
      <c r="F109" s="137"/>
    </row>
    <row r="110" spans="1:6" hidden="1" x14ac:dyDescent="0.25">
      <c r="A110" s="4" t="s">
        <v>80</v>
      </c>
      <c r="B110" s="82" t="s">
        <v>1068</v>
      </c>
      <c r="C110" s="124" t="s">
        <v>1067</v>
      </c>
      <c r="D110" s="5" t="s">
        <v>763</v>
      </c>
      <c r="E110" s="5" t="s">
        <v>37</v>
      </c>
      <c r="F110" s="139">
        <v>6</v>
      </c>
    </row>
    <row r="111" spans="1:6" hidden="1" x14ac:dyDescent="0.25">
      <c r="A111" s="4" t="s">
        <v>81</v>
      </c>
      <c r="B111" s="82" t="s">
        <v>1187</v>
      </c>
      <c r="C111" s="124" t="s">
        <v>1188</v>
      </c>
      <c r="D111" s="5" t="s">
        <v>210</v>
      </c>
      <c r="E111" s="48" t="s">
        <v>35</v>
      </c>
      <c r="F111" s="138">
        <v>4</v>
      </c>
    </row>
    <row r="112" spans="1:6" hidden="1" x14ac:dyDescent="0.25">
      <c r="A112" s="4" t="s">
        <v>82</v>
      </c>
      <c r="B112" s="82" t="s">
        <v>1221</v>
      </c>
      <c r="C112" s="124" t="s">
        <v>1222</v>
      </c>
      <c r="D112" s="41" t="s">
        <v>358</v>
      </c>
      <c r="E112" s="5" t="s">
        <v>34</v>
      </c>
      <c r="F112" s="139">
        <v>1</v>
      </c>
    </row>
    <row r="113" spans="1:6" hidden="1" x14ac:dyDescent="0.25">
      <c r="A113" s="4" t="s">
        <v>240</v>
      </c>
      <c r="B113" s="82" t="s">
        <v>1211</v>
      </c>
      <c r="C113" s="124" t="s">
        <v>1031</v>
      </c>
      <c r="D113" s="41" t="s">
        <v>358</v>
      </c>
      <c r="E113" s="5" t="s">
        <v>34</v>
      </c>
      <c r="F113" s="139">
        <v>1</v>
      </c>
    </row>
    <row r="114" spans="1:6" hidden="1" x14ac:dyDescent="0.25">
      <c r="A114" s="4" t="s">
        <v>241</v>
      </c>
      <c r="B114" s="82" t="s">
        <v>1049</v>
      </c>
      <c r="C114" s="124" t="s">
        <v>1153</v>
      </c>
      <c r="D114" s="41" t="s">
        <v>358</v>
      </c>
      <c r="E114" s="5" t="s">
        <v>34</v>
      </c>
      <c r="F114" s="139">
        <v>1</v>
      </c>
    </row>
    <row r="115" spans="1:6" hidden="1" x14ac:dyDescent="0.25">
      <c r="A115" s="4" t="s">
        <v>242</v>
      </c>
      <c r="B115" s="82" t="s">
        <v>1276</v>
      </c>
      <c r="C115" s="124" t="s">
        <v>1087</v>
      </c>
      <c r="D115" s="41" t="s">
        <v>358</v>
      </c>
      <c r="E115" s="5" t="s">
        <v>34</v>
      </c>
      <c r="F115" s="139">
        <v>1</v>
      </c>
    </row>
    <row r="116" spans="1:6" hidden="1" x14ac:dyDescent="0.25">
      <c r="A116" s="4" t="s">
        <v>243</v>
      </c>
      <c r="B116" s="13" t="s">
        <v>1124</v>
      </c>
      <c r="C116" s="124" t="s">
        <v>993</v>
      </c>
      <c r="D116" s="41" t="s">
        <v>358</v>
      </c>
      <c r="E116" s="5" t="s">
        <v>34</v>
      </c>
      <c r="F116" s="139">
        <v>2</v>
      </c>
    </row>
    <row r="117" spans="1:6" hidden="1" x14ac:dyDescent="0.25">
      <c r="A117" s="4" t="s">
        <v>244</v>
      </c>
      <c r="B117" s="23" t="s">
        <v>1059</v>
      </c>
      <c r="C117" s="124" t="s">
        <v>1062</v>
      </c>
      <c r="D117" s="41" t="s">
        <v>358</v>
      </c>
      <c r="E117" s="5" t="s">
        <v>34</v>
      </c>
      <c r="F117" s="139">
        <v>2</v>
      </c>
    </row>
    <row r="118" spans="1:6" ht="25.5" hidden="1" x14ac:dyDescent="0.25">
      <c r="A118" s="4" t="s">
        <v>925</v>
      </c>
      <c r="B118" s="82" t="s">
        <v>1226</v>
      </c>
      <c r="C118" s="124" t="s">
        <v>1042</v>
      </c>
      <c r="D118" s="41" t="s">
        <v>230</v>
      </c>
      <c r="E118" s="5" t="s">
        <v>34</v>
      </c>
      <c r="F118" s="139">
        <v>2</v>
      </c>
    </row>
    <row r="119" spans="1:6" hidden="1" x14ac:dyDescent="0.25">
      <c r="A119" s="4" t="s">
        <v>245</v>
      </c>
      <c r="B119" s="82" t="s">
        <v>1234</v>
      </c>
      <c r="C119" s="124" t="s">
        <v>1154</v>
      </c>
      <c r="D119" s="41" t="s">
        <v>358</v>
      </c>
      <c r="E119" s="5" t="s">
        <v>34</v>
      </c>
      <c r="F119" s="139">
        <v>1</v>
      </c>
    </row>
    <row r="120" spans="1:6" ht="25.5" hidden="1" x14ac:dyDescent="0.25">
      <c r="A120" s="4" t="s">
        <v>926</v>
      </c>
      <c r="B120" s="82" t="s">
        <v>1103</v>
      </c>
      <c r="C120" s="124" t="s">
        <v>1104</v>
      </c>
      <c r="D120" s="41" t="s">
        <v>360</v>
      </c>
      <c r="E120" s="5" t="s">
        <v>34</v>
      </c>
      <c r="F120" s="139">
        <v>2</v>
      </c>
    </row>
    <row r="121" spans="1:6" hidden="1" x14ac:dyDescent="0.25">
      <c r="A121" s="4" t="s">
        <v>246</v>
      </c>
      <c r="B121" s="82" t="s">
        <v>1123</v>
      </c>
      <c r="C121" s="124" t="s">
        <v>994</v>
      </c>
      <c r="D121" s="41" t="s">
        <v>358</v>
      </c>
      <c r="E121" s="5" t="s">
        <v>34</v>
      </c>
      <c r="F121" s="139">
        <v>5</v>
      </c>
    </row>
    <row r="122" spans="1:6" hidden="1" x14ac:dyDescent="0.25">
      <c r="A122" s="4" t="s">
        <v>239</v>
      </c>
      <c r="B122" s="82" t="s">
        <v>1259</v>
      </c>
      <c r="C122" s="124" t="s">
        <v>395</v>
      </c>
      <c r="D122" s="41" t="s">
        <v>358</v>
      </c>
      <c r="E122" s="5" t="s">
        <v>34</v>
      </c>
      <c r="F122" s="139">
        <v>2</v>
      </c>
    </row>
    <row r="123" spans="1:6" ht="25.5" hidden="1" x14ac:dyDescent="0.25">
      <c r="A123" s="4" t="s">
        <v>247</v>
      </c>
      <c r="B123" s="82" t="s">
        <v>1176</v>
      </c>
      <c r="C123" s="124" t="s">
        <v>1043</v>
      </c>
      <c r="D123" s="41" t="s">
        <v>230</v>
      </c>
      <c r="E123" s="5" t="s">
        <v>34</v>
      </c>
      <c r="F123" s="139">
        <v>2</v>
      </c>
    </row>
    <row r="124" spans="1:6" hidden="1" x14ac:dyDescent="0.25">
      <c r="A124" s="4" t="s">
        <v>248</v>
      </c>
      <c r="B124" s="82" t="s">
        <v>1202</v>
      </c>
      <c r="C124" s="124" t="s">
        <v>396</v>
      </c>
      <c r="D124" s="41" t="s">
        <v>358</v>
      </c>
      <c r="E124" s="5" t="s">
        <v>34</v>
      </c>
      <c r="F124" s="139">
        <v>2</v>
      </c>
    </row>
    <row r="125" spans="1:6" hidden="1" x14ac:dyDescent="0.25">
      <c r="A125" s="4" t="s">
        <v>249</v>
      </c>
      <c r="B125" s="82" t="s">
        <v>1213</v>
      </c>
      <c r="C125" s="124" t="s">
        <v>1214</v>
      </c>
      <c r="D125" s="41" t="s">
        <v>358</v>
      </c>
      <c r="E125" s="5" t="s">
        <v>34</v>
      </c>
      <c r="F125" s="139">
        <v>1</v>
      </c>
    </row>
    <row r="126" spans="1:6" hidden="1" x14ac:dyDescent="0.25">
      <c r="A126" s="4" t="s">
        <v>250</v>
      </c>
      <c r="B126" s="82" t="s">
        <v>1058</v>
      </c>
      <c r="C126" s="124" t="s">
        <v>1063</v>
      </c>
      <c r="D126" s="41" t="s">
        <v>358</v>
      </c>
      <c r="E126" s="5" t="s">
        <v>34</v>
      </c>
      <c r="F126" s="139">
        <v>1</v>
      </c>
    </row>
    <row r="127" spans="1:6" hidden="1" x14ac:dyDescent="0.25">
      <c r="A127" s="4" t="s">
        <v>251</v>
      </c>
      <c r="B127" s="82" t="s">
        <v>1274</v>
      </c>
      <c r="C127" s="124" t="s">
        <v>1086</v>
      </c>
      <c r="D127" s="41" t="s">
        <v>358</v>
      </c>
      <c r="E127" s="5" t="s">
        <v>34</v>
      </c>
      <c r="F127" s="139">
        <v>2</v>
      </c>
    </row>
    <row r="128" spans="1:6" hidden="1" x14ac:dyDescent="0.25">
      <c r="A128" s="4" t="s">
        <v>252</v>
      </c>
      <c r="B128" s="82" t="s">
        <v>1275</v>
      </c>
      <c r="C128" s="124" t="s">
        <v>1085</v>
      </c>
      <c r="D128" s="41" t="s">
        <v>358</v>
      </c>
      <c r="E128" s="5" t="s">
        <v>34</v>
      </c>
      <c r="F128" s="139">
        <v>1</v>
      </c>
    </row>
    <row r="129" spans="1:6" hidden="1" x14ac:dyDescent="0.25">
      <c r="A129" s="4" t="s">
        <v>253</v>
      </c>
      <c r="B129" s="82" t="s">
        <v>1125</v>
      </c>
      <c r="C129" s="124" t="s">
        <v>995</v>
      </c>
      <c r="D129" s="41" t="s">
        <v>358</v>
      </c>
      <c r="E129" s="5" t="s">
        <v>34</v>
      </c>
      <c r="F129" s="139">
        <v>2</v>
      </c>
    </row>
    <row r="130" spans="1:6" hidden="1" x14ac:dyDescent="0.25">
      <c r="A130" s="4" t="s">
        <v>254</v>
      </c>
      <c r="B130" s="23" t="s">
        <v>1204</v>
      </c>
      <c r="C130" s="124" t="s">
        <v>1142</v>
      </c>
      <c r="D130" s="41" t="s">
        <v>358</v>
      </c>
      <c r="E130" s="5" t="s">
        <v>34</v>
      </c>
      <c r="F130" s="139">
        <v>2</v>
      </c>
    </row>
    <row r="131" spans="1:6" hidden="1" x14ac:dyDescent="0.25">
      <c r="A131" s="4" t="s">
        <v>255</v>
      </c>
      <c r="B131" s="82" t="s">
        <v>1070</v>
      </c>
      <c r="C131" s="124" t="s">
        <v>1069</v>
      </c>
      <c r="D131" s="5" t="s">
        <v>763</v>
      </c>
      <c r="E131" s="5" t="s">
        <v>37</v>
      </c>
      <c r="F131" s="139">
        <v>6</v>
      </c>
    </row>
    <row r="132" spans="1:6" hidden="1" x14ac:dyDescent="0.25">
      <c r="A132" s="4" t="s">
        <v>256</v>
      </c>
      <c r="B132" s="82" t="s">
        <v>1252</v>
      </c>
      <c r="C132" s="124" t="s">
        <v>1198</v>
      </c>
      <c r="D132" s="41" t="s">
        <v>358</v>
      </c>
      <c r="E132" s="5" t="s">
        <v>34</v>
      </c>
      <c r="F132" s="139">
        <v>1</v>
      </c>
    </row>
    <row r="133" spans="1:6" hidden="1" x14ac:dyDescent="0.25">
      <c r="A133" s="4" t="s">
        <v>257</v>
      </c>
      <c r="B133" s="82" t="s">
        <v>576</v>
      </c>
      <c r="C133" s="132" t="s">
        <v>1106</v>
      </c>
      <c r="D133" s="41" t="s">
        <v>393</v>
      </c>
      <c r="E133" s="5" t="s">
        <v>34</v>
      </c>
      <c r="F133" s="139">
        <v>1</v>
      </c>
    </row>
    <row r="134" spans="1:6" hidden="1" x14ac:dyDescent="0.25">
      <c r="A134" s="4" t="s">
        <v>258</v>
      </c>
      <c r="B134" s="82" t="s">
        <v>578</v>
      </c>
      <c r="C134" s="124" t="s">
        <v>577</v>
      </c>
      <c r="D134" s="15" t="s">
        <v>392</v>
      </c>
      <c r="E134" s="36" t="s">
        <v>34</v>
      </c>
      <c r="F134" s="141">
        <v>1</v>
      </c>
    </row>
    <row r="135" spans="1:6" hidden="1" x14ac:dyDescent="0.25">
      <c r="A135" s="4" t="s">
        <v>259</v>
      </c>
      <c r="B135" s="45" t="s">
        <v>1105</v>
      </c>
      <c r="C135" s="124" t="s">
        <v>1190</v>
      </c>
      <c r="D135" s="40" t="s">
        <v>360</v>
      </c>
      <c r="E135" s="37" t="s">
        <v>34</v>
      </c>
      <c r="F135" s="141">
        <v>1</v>
      </c>
    </row>
    <row r="136" spans="1:6" hidden="1" x14ac:dyDescent="0.25">
      <c r="A136" s="4" t="s">
        <v>260</v>
      </c>
      <c r="B136" s="82" t="s">
        <v>1277</v>
      </c>
      <c r="C136" s="127" t="s">
        <v>1084</v>
      </c>
      <c r="D136" s="15" t="s">
        <v>358</v>
      </c>
      <c r="E136" s="36" t="s">
        <v>34</v>
      </c>
      <c r="F136" s="141">
        <v>1</v>
      </c>
    </row>
    <row r="137" spans="1:6" hidden="1" x14ac:dyDescent="0.25">
      <c r="A137" s="4" t="s">
        <v>261</v>
      </c>
      <c r="B137" s="82" t="s">
        <v>1126</v>
      </c>
      <c r="C137" s="127" t="s">
        <v>996</v>
      </c>
      <c r="D137" s="40" t="s">
        <v>358</v>
      </c>
      <c r="E137" s="37" t="s">
        <v>34</v>
      </c>
      <c r="F137" s="141">
        <v>1</v>
      </c>
    </row>
    <row r="138" spans="1:6" hidden="1" x14ac:dyDescent="0.25">
      <c r="A138" s="4" t="s">
        <v>262</v>
      </c>
      <c r="B138" s="44" t="s">
        <v>1076</v>
      </c>
      <c r="C138" s="127" t="s">
        <v>1083</v>
      </c>
      <c r="D138" s="15" t="s">
        <v>358</v>
      </c>
      <c r="E138" s="36" t="s">
        <v>34</v>
      </c>
      <c r="F138" s="141">
        <v>1</v>
      </c>
    </row>
    <row r="139" spans="1:6" hidden="1" x14ac:dyDescent="0.25">
      <c r="A139" s="4" t="s">
        <v>397</v>
      </c>
      <c r="B139" s="13" t="s">
        <v>1004</v>
      </c>
      <c r="C139" s="127" t="s">
        <v>1003</v>
      </c>
      <c r="D139" s="40" t="s">
        <v>210</v>
      </c>
      <c r="E139" s="37" t="s">
        <v>34</v>
      </c>
      <c r="F139" s="141">
        <v>26</v>
      </c>
    </row>
    <row r="140" spans="1:6" hidden="1" x14ac:dyDescent="0.25">
      <c r="A140" s="4" t="s">
        <v>398</v>
      </c>
      <c r="B140" s="45" t="s">
        <v>986</v>
      </c>
      <c r="C140" s="127" t="s">
        <v>583</v>
      </c>
      <c r="D140" s="41" t="s">
        <v>409</v>
      </c>
      <c r="E140" s="37" t="s">
        <v>34</v>
      </c>
      <c r="F140" s="141">
        <v>208</v>
      </c>
    </row>
    <row r="141" spans="1:6" hidden="1" x14ac:dyDescent="0.25">
      <c r="A141" s="4" t="s">
        <v>399</v>
      </c>
      <c r="B141" s="13" t="s">
        <v>998</v>
      </c>
      <c r="C141" s="127" t="s">
        <v>1002</v>
      </c>
      <c r="D141" s="40" t="s">
        <v>210</v>
      </c>
      <c r="E141" s="37" t="s">
        <v>34</v>
      </c>
      <c r="F141" s="141">
        <v>14</v>
      </c>
    </row>
    <row r="142" spans="1:6" hidden="1" x14ac:dyDescent="0.25">
      <c r="A142" s="4" t="s">
        <v>1186</v>
      </c>
      <c r="B142" s="45" t="s">
        <v>986</v>
      </c>
      <c r="C142" s="127" t="s">
        <v>583</v>
      </c>
      <c r="D142" s="41" t="s">
        <v>409</v>
      </c>
      <c r="E142" s="37" t="s">
        <v>34</v>
      </c>
      <c r="F142" s="141">
        <v>112</v>
      </c>
    </row>
    <row r="143" spans="1:6" hidden="1" x14ac:dyDescent="0.25">
      <c r="A143" s="52" t="s">
        <v>51</v>
      </c>
      <c r="B143" s="57"/>
      <c r="C143" s="126" t="s">
        <v>400</v>
      </c>
      <c r="D143" s="77"/>
      <c r="E143" s="54"/>
      <c r="F143" s="137"/>
    </row>
    <row r="144" spans="1:6" hidden="1" x14ac:dyDescent="0.25">
      <c r="A144" s="4" t="s">
        <v>84</v>
      </c>
      <c r="B144" s="82" t="s">
        <v>1072</v>
      </c>
      <c r="C144" s="124" t="s">
        <v>1071</v>
      </c>
      <c r="D144" s="5" t="s">
        <v>763</v>
      </c>
      <c r="E144" s="5" t="s">
        <v>37</v>
      </c>
      <c r="F144" s="139">
        <v>6</v>
      </c>
    </row>
    <row r="145" spans="1:6" hidden="1" x14ac:dyDescent="0.25">
      <c r="A145" s="4" t="s">
        <v>85</v>
      </c>
      <c r="B145" s="82" t="s">
        <v>1177</v>
      </c>
      <c r="C145" s="124" t="s">
        <v>1178</v>
      </c>
      <c r="D145" s="5" t="s">
        <v>210</v>
      </c>
      <c r="E145" s="48" t="s">
        <v>35</v>
      </c>
      <c r="F145" s="138">
        <v>4</v>
      </c>
    </row>
    <row r="146" spans="1:6" hidden="1" x14ac:dyDescent="0.25">
      <c r="A146" s="4" t="s">
        <v>86</v>
      </c>
      <c r="B146" s="82" t="s">
        <v>1014</v>
      </c>
      <c r="C146" s="124" t="s">
        <v>1020</v>
      </c>
      <c r="D146" s="5" t="s">
        <v>358</v>
      </c>
      <c r="E146" s="5" t="s">
        <v>34</v>
      </c>
      <c r="F146" s="139">
        <v>1</v>
      </c>
    </row>
    <row r="147" spans="1:6" hidden="1" x14ac:dyDescent="0.25">
      <c r="A147" s="4" t="s">
        <v>87</v>
      </c>
      <c r="B147" s="82" t="s">
        <v>1307</v>
      </c>
      <c r="C147" s="124" t="s">
        <v>1260</v>
      </c>
      <c r="D147" s="5" t="s">
        <v>358</v>
      </c>
      <c r="E147" s="5" t="s">
        <v>34</v>
      </c>
      <c r="F147" s="139">
        <v>1</v>
      </c>
    </row>
    <row r="148" spans="1:6" hidden="1" x14ac:dyDescent="0.25">
      <c r="A148" s="4" t="s">
        <v>88</v>
      </c>
      <c r="B148" s="82" t="s">
        <v>579</v>
      </c>
      <c r="C148" s="124" t="s">
        <v>1155</v>
      </c>
      <c r="D148" s="5" t="s">
        <v>358</v>
      </c>
      <c r="E148" s="5" t="s">
        <v>34</v>
      </c>
      <c r="F148" s="139">
        <v>1</v>
      </c>
    </row>
    <row r="149" spans="1:6" hidden="1" x14ac:dyDescent="0.25">
      <c r="A149" s="4" t="s">
        <v>89</v>
      </c>
      <c r="B149" s="82" t="s">
        <v>580</v>
      </c>
      <c r="C149" s="124" t="s">
        <v>1082</v>
      </c>
      <c r="D149" s="5" t="s">
        <v>358</v>
      </c>
      <c r="E149" s="5" t="s">
        <v>34</v>
      </c>
      <c r="F149" s="139">
        <v>3</v>
      </c>
    </row>
    <row r="150" spans="1:6" ht="12.75" hidden="1" customHeight="1" x14ac:dyDescent="0.25">
      <c r="A150" s="4" t="s">
        <v>90</v>
      </c>
      <c r="B150" s="82" t="s">
        <v>556</v>
      </c>
      <c r="C150" s="124" t="s">
        <v>990</v>
      </c>
      <c r="D150" s="5" t="s">
        <v>358</v>
      </c>
      <c r="E150" s="5" t="s">
        <v>34</v>
      </c>
      <c r="F150" s="139">
        <v>5</v>
      </c>
    </row>
    <row r="151" spans="1:6" hidden="1" x14ac:dyDescent="0.25">
      <c r="A151" s="4" t="s">
        <v>91</v>
      </c>
      <c r="B151" s="82" t="s">
        <v>1057</v>
      </c>
      <c r="C151" s="124" t="s">
        <v>1064</v>
      </c>
      <c r="D151" s="5" t="s">
        <v>358</v>
      </c>
      <c r="E151" s="5" t="s">
        <v>34</v>
      </c>
      <c r="F151" s="139">
        <v>2</v>
      </c>
    </row>
    <row r="152" spans="1:6" ht="25.5" hidden="1" x14ac:dyDescent="0.25">
      <c r="A152" s="4" t="s">
        <v>927</v>
      </c>
      <c r="B152" s="82" t="s">
        <v>1229</v>
      </c>
      <c r="C152" s="124" t="s">
        <v>1230</v>
      </c>
      <c r="D152" s="41" t="s">
        <v>230</v>
      </c>
      <c r="E152" s="5" t="s">
        <v>34</v>
      </c>
      <c r="F152" s="139">
        <v>4</v>
      </c>
    </row>
    <row r="153" spans="1:6" ht="25.5" hidden="1" x14ac:dyDescent="0.25">
      <c r="A153" s="4" t="s">
        <v>928</v>
      </c>
      <c r="B153" s="82" t="s">
        <v>1102</v>
      </c>
      <c r="C153" s="124" t="s">
        <v>1101</v>
      </c>
      <c r="D153" s="5" t="s">
        <v>360</v>
      </c>
      <c r="E153" s="5" t="s">
        <v>34</v>
      </c>
      <c r="F153" s="139">
        <v>2</v>
      </c>
    </row>
    <row r="154" spans="1:6" hidden="1" x14ac:dyDescent="0.25">
      <c r="A154" s="4" t="s">
        <v>929</v>
      </c>
      <c r="B154" s="82" t="s">
        <v>1258</v>
      </c>
      <c r="C154" s="124" t="s">
        <v>401</v>
      </c>
      <c r="D154" s="5" t="s">
        <v>358</v>
      </c>
      <c r="E154" s="5" t="s">
        <v>34</v>
      </c>
      <c r="F154" s="139">
        <v>2</v>
      </c>
    </row>
    <row r="155" spans="1:6" hidden="1" x14ac:dyDescent="0.25">
      <c r="A155" s="4" t="s">
        <v>173</v>
      </c>
      <c r="B155" s="82" t="s">
        <v>1201</v>
      </c>
      <c r="C155" s="124" t="s">
        <v>402</v>
      </c>
      <c r="D155" s="41" t="s">
        <v>358</v>
      </c>
      <c r="E155" s="5" t="s">
        <v>34</v>
      </c>
      <c r="F155" s="139">
        <v>2</v>
      </c>
    </row>
    <row r="156" spans="1:6" hidden="1" x14ac:dyDescent="0.25">
      <c r="A156" s="4" t="s">
        <v>263</v>
      </c>
      <c r="B156" s="82" t="s">
        <v>1215</v>
      </c>
      <c r="C156" s="124" t="s">
        <v>1216</v>
      </c>
      <c r="D156" s="41" t="s">
        <v>358</v>
      </c>
      <c r="E156" s="5" t="s">
        <v>34</v>
      </c>
      <c r="F156" s="139">
        <v>1</v>
      </c>
    </row>
    <row r="157" spans="1:6" hidden="1" x14ac:dyDescent="0.25">
      <c r="A157" s="4" t="s">
        <v>264</v>
      </c>
      <c r="B157" s="82" t="s">
        <v>1270</v>
      </c>
      <c r="C157" s="124" t="s">
        <v>1081</v>
      </c>
      <c r="D157" s="5" t="s">
        <v>358</v>
      </c>
      <c r="E157" s="5" t="s">
        <v>34</v>
      </c>
      <c r="F157" s="139">
        <v>1</v>
      </c>
    </row>
    <row r="158" spans="1:6" hidden="1" x14ac:dyDescent="0.25">
      <c r="A158" s="4" t="s">
        <v>265</v>
      </c>
      <c r="B158" s="82" t="s">
        <v>1271</v>
      </c>
      <c r="C158" s="124" t="s">
        <v>1080</v>
      </c>
      <c r="D158" s="5" t="s">
        <v>358</v>
      </c>
      <c r="E158" s="5" t="s">
        <v>34</v>
      </c>
      <c r="F158" s="139">
        <v>1</v>
      </c>
    </row>
    <row r="159" spans="1:6" hidden="1" x14ac:dyDescent="0.25">
      <c r="A159" s="4" t="s">
        <v>266</v>
      </c>
      <c r="B159" s="23" t="s">
        <v>1273</v>
      </c>
      <c r="C159" s="124" t="s">
        <v>1079</v>
      </c>
      <c r="D159" s="5" t="s">
        <v>358</v>
      </c>
      <c r="E159" s="5" t="s">
        <v>34</v>
      </c>
      <c r="F159" s="139">
        <v>1</v>
      </c>
    </row>
    <row r="160" spans="1:6" hidden="1" x14ac:dyDescent="0.25">
      <c r="A160" s="4" t="s">
        <v>267</v>
      </c>
      <c r="B160" s="82" t="s">
        <v>581</v>
      </c>
      <c r="C160" s="124" t="s">
        <v>997</v>
      </c>
      <c r="D160" s="5" t="s">
        <v>358</v>
      </c>
      <c r="E160" s="5" t="s">
        <v>34</v>
      </c>
      <c r="F160" s="139">
        <v>2</v>
      </c>
    </row>
    <row r="161" spans="1:6" ht="24.75" hidden="1" customHeight="1" x14ac:dyDescent="0.25">
      <c r="A161" s="4" t="s">
        <v>268</v>
      </c>
      <c r="B161" s="82" t="s">
        <v>1210</v>
      </c>
      <c r="C161" s="124" t="s">
        <v>1143</v>
      </c>
      <c r="D161" s="41" t="s">
        <v>358</v>
      </c>
      <c r="E161" s="5" t="s">
        <v>34</v>
      </c>
      <c r="F161" s="139">
        <v>1</v>
      </c>
    </row>
    <row r="162" spans="1:6" ht="25.5" hidden="1" customHeight="1" x14ac:dyDescent="0.25">
      <c r="A162" s="4" t="s">
        <v>269</v>
      </c>
      <c r="B162" s="82" t="s">
        <v>1219</v>
      </c>
      <c r="C162" s="124" t="s">
        <v>1220</v>
      </c>
      <c r="D162" s="41" t="s">
        <v>358</v>
      </c>
      <c r="E162" s="5" t="s">
        <v>34</v>
      </c>
      <c r="F162" s="139">
        <v>1</v>
      </c>
    </row>
    <row r="163" spans="1:6" hidden="1" x14ac:dyDescent="0.25">
      <c r="A163" s="4" t="s">
        <v>270</v>
      </c>
      <c r="B163" s="82" t="s">
        <v>1250</v>
      </c>
      <c r="C163" s="124" t="s">
        <v>1199</v>
      </c>
      <c r="D163" s="41" t="s">
        <v>358</v>
      </c>
      <c r="E163" s="5" t="s">
        <v>34</v>
      </c>
      <c r="F163" s="139">
        <v>1</v>
      </c>
    </row>
    <row r="164" spans="1:6" ht="25.5" hidden="1" customHeight="1" x14ac:dyDescent="0.25">
      <c r="A164" s="4" t="s">
        <v>271</v>
      </c>
      <c r="B164" s="82" t="s">
        <v>576</v>
      </c>
      <c r="C164" s="132" t="s">
        <v>1106</v>
      </c>
      <c r="D164" s="41" t="s">
        <v>393</v>
      </c>
      <c r="E164" s="5" t="s">
        <v>34</v>
      </c>
      <c r="F164" s="139">
        <v>1</v>
      </c>
    </row>
    <row r="165" spans="1:6" hidden="1" x14ac:dyDescent="0.25">
      <c r="A165" s="4" t="s">
        <v>403</v>
      </c>
      <c r="B165" s="82" t="s">
        <v>578</v>
      </c>
      <c r="C165" s="124" t="s">
        <v>577</v>
      </c>
      <c r="D165" s="41" t="s">
        <v>392</v>
      </c>
      <c r="E165" s="5" t="s">
        <v>34</v>
      </c>
      <c r="F165" s="139">
        <v>1</v>
      </c>
    </row>
    <row r="166" spans="1:6" hidden="1" x14ac:dyDescent="0.25">
      <c r="A166" s="4" t="s">
        <v>404</v>
      </c>
      <c r="B166" s="82" t="s">
        <v>1105</v>
      </c>
      <c r="C166" s="124" t="s">
        <v>1190</v>
      </c>
      <c r="D166" s="41" t="s">
        <v>360</v>
      </c>
      <c r="E166" s="5" t="s">
        <v>34</v>
      </c>
      <c r="F166" s="139">
        <v>1</v>
      </c>
    </row>
    <row r="167" spans="1:6" hidden="1" x14ac:dyDescent="0.25">
      <c r="A167" s="4" t="s">
        <v>405</v>
      </c>
      <c r="B167" s="82" t="s">
        <v>1251</v>
      </c>
      <c r="C167" s="124" t="s">
        <v>1200</v>
      </c>
      <c r="D167" s="41" t="s">
        <v>358</v>
      </c>
      <c r="E167" s="5" t="s">
        <v>34</v>
      </c>
      <c r="F167" s="139">
        <v>1</v>
      </c>
    </row>
    <row r="168" spans="1:6" hidden="1" x14ac:dyDescent="0.25">
      <c r="A168" s="4" t="s">
        <v>1168</v>
      </c>
      <c r="B168" s="82" t="s">
        <v>1159</v>
      </c>
      <c r="C168" s="132" t="s">
        <v>1156</v>
      </c>
      <c r="D168" s="41" t="s">
        <v>393</v>
      </c>
      <c r="E168" s="5" t="s">
        <v>34</v>
      </c>
      <c r="F168" s="139">
        <v>2</v>
      </c>
    </row>
    <row r="169" spans="1:6" hidden="1" x14ac:dyDescent="0.25">
      <c r="A169" s="4" t="s">
        <v>1169</v>
      </c>
      <c r="B169" s="82" t="s">
        <v>592</v>
      </c>
      <c r="C169" s="124" t="s">
        <v>1045</v>
      </c>
      <c r="D169" s="41" t="s">
        <v>392</v>
      </c>
      <c r="E169" s="5" t="s">
        <v>34</v>
      </c>
      <c r="F169" s="139">
        <v>1</v>
      </c>
    </row>
    <row r="170" spans="1:6" hidden="1" x14ac:dyDescent="0.25">
      <c r="A170" s="4" t="s">
        <v>1170</v>
      </c>
      <c r="B170" s="82" t="s">
        <v>1158</v>
      </c>
      <c r="C170" s="124" t="s">
        <v>1157</v>
      </c>
      <c r="D170" s="41" t="s">
        <v>409</v>
      </c>
      <c r="E170" s="5" t="s">
        <v>37</v>
      </c>
      <c r="F170" s="139">
        <v>2</v>
      </c>
    </row>
    <row r="171" spans="1:6" hidden="1" x14ac:dyDescent="0.25">
      <c r="A171" s="4" t="s">
        <v>1171</v>
      </c>
      <c r="B171" s="23" t="s">
        <v>1241</v>
      </c>
      <c r="C171" s="42" t="s">
        <v>1160</v>
      </c>
      <c r="D171" s="5" t="s">
        <v>1161</v>
      </c>
      <c r="E171" s="5" t="s">
        <v>34</v>
      </c>
      <c r="F171" s="139">
        <v>1</v>
      </c>
    </row>
    <row r="172" spans="1:6" hidden="1" x14ac:dyDescent="0.25">
      <c r="A172" s="4" t="s">
        <v>1172</v>
      </c>
      <c r="B172" s="82" t="s">
        <v>1162</v>
      </c>
      <c r="C172" s="42" t="s">
        <v>1163</v>
      </c>
      <c r="D172" s="41" t="s">
        <v>1164</v>
      </c>
      <c r="E172" s="5" t="s">
        <v>45</v>
      </c>
      <c r="F172" s="139">
        <v>1</v>
      </c>
    </row>
    <row r="173" spans="1:6" hidden="1" x14ac:dyDescent="0.25">
      <c r="A173" s="4" t="s">
        <v>1173</v>
      </c>
      <c r="B173" s="82" t="s">
        <v>1165</v>
      </c>
      <c r="C173" s="42" t="s">
        <v>1166</v>
      </c>
      <c r="D173" s="5" t="s">
        <v>1164</v>
      </c>
      <c r="E173" s="5" t="s">
        <v>45</v>
      </c>
      <c r="F173" s="139">
        <v>1</v>
      </c>
    </row>
    <row r="174" spans="1:6" hidden="1" x14ac:dyDescent="0.25">
      <c r="A174" s="4" t="s">
        <v>1174</v>
      </c>
      <c r="B174" s="82" t="s">
        <v>591</v>
      </c>
      <c r="C174" s="42" t="s">
        <v>1167</v>
      </c>
      <c r="D174" s="5" t="s">
        <v>1164</v>
      </c>
      <c r="E174" s="5" t="s">
        <v>45</v>
      </c>
      <c r="F174" s="139">
        <v>1</v>
      </c>
    </row>
    <row r="175" spans="1:6" ht="25.5" hidden="1" customHeight="1" x14ac:dyDescent="0.25">
      <c r="A175" s="4" t="s">
        <v>1175</v>
      </c>
      <c r="B175" s="44" t="s">
        <v>984</v>
      </c>
      <c r="C175" s="127" t="s">
        <v>1001</v>
      </c>
      <c r="D175" s="41" t="s">
        <v>210</v>
      </c>
      <c r="E175" s="5" t="s">
        <v>34</v>
      </c>
      <c r="F175" s="139">
        <v>30</v>
      </c>
    </row>
    <row r="176" spans="1:6" hidden="1" x14ac:dyDescent="0.25">
      <c r="A176" s="4" t="s">
        <v>1189</v>
      </c>
      <c r="B176" s="45" t="s">
        <v>986</v>
      </c>
      <c r="C176" s="127" t="s">
        <v>583</v>
      </c>
      <c r="D176" s="41" t="s">
        <v>409</v>
      </c>
      <c r="E176" s="5" t="s">
        <v>34</v>
      </c>
      <c r="F176" s="139">
        <v>240</v>
      </c>
    </row>
    <row r="177" spans="1:6" ht="25.5" hidden="1" customHeight="1" x14ac:dyDescent="0.25">
      <c r="A177" s="52" t="s">
        <v>52</v>
      </c>
      <c r="B177" s="57"/>
      <c r="C177" s="126" t="s">
        <v>376</v>
      </c>
      <c r="D177" s="77"/>
      <c r="E177" s="54"/>
      <c r="F177" s="137"/>
    </row>
    <row r="178" spans="1:6" ht="24.75" hidden="1" customHeight="1" x14ac:dyDescent="0.25">
      <c r="A178" s="4" t="s">
        <v>92</v>
      </c>
      <c r="B178" s="82" t="s">
        <v>212</v>
      </c>
      <c r="C178" s="124" t="s">
        <v>575</v>
      </c>
      <c r="D178" s="5" t="s">
        <v>763</v>
      </c>
      <c r="E178" s="5" t="s">
        <v>37</v>
      </c>
      <c r="F178" s="139">
        <v>135</v>
      </c>
    </row>
    <row r="179" spans="1:6" hidden="1" x14ac:dyDescent="0.25">
      <c r="A179" s="4" t="s">
        <v>93</v>
      </c>
      <c r="B179" s="82" t="s">
        <v>1181</v>
      </c>
      <c r="C179" s="124" t="s">
        <v>1180</v>
      </c>
      <c r="D179" s="5" t="s">
        <v>210</v>
      </c>
      <c r="E179" s="48" t="s">
        <v>35</v>
      </c>
      <c r="F179" s="138">
        <v>50</v>
      </c>
    </row>
    <row r="180" spans="1:6" hidden="1" x14ac:dyDescent="0.25">
      <c r="A180" s="4" t="s">
        <v>94</v>
      </c>
      <c r="B180" s="82" t="s">
        <v>1066</v>
      </c>
      <c r="C180" s="124" t="s">
        <v>1065</v>
      </c>
      <c r="D180" s="41" t="s">
        <v>358</v>
      </c>
      <c r="E180" s="5" t="s">
        <v>34</v>
      </c>
      <c r="F180" s="139">
        <v>3</v>
      </c>
    </row>
    <row r="181" spans="1:6" hidden="1" x14ac:dyDescent="0.25">
      <c r="A181" s="4" t="s">
        <v>95</v>
      </c>
      <c r="B181" s="82" t="s">
        <v>557</v>
      </c>
      <c r="C181" s="124" t="s">
        <v>991</v>
      </c>
      <c r="D181" s="41" t="s">
        <v>358</v>
      </c>
      <c r="E181" s="5" t="s">
        <v>34</v>
      </c>
      <c r="F181" s="139">
        <v>3</v>
      </c>
    </row>
    <row r="182" spans="1:6" hidden="1" x14ac:dyDescent="0.25">
      <c r="A182" s="4" t="s">
        <v>96</v>
      </c>
      <c r="B182" s="82" t="s">
        <v>1235</v>
      </c>
      <c r="C182" s="124" t="s">
        <v>1050</v>
      </c>
      <c r="D182" s="41" t="s">
        <v>358</v>
      </c>
      <c r="E182" s="5" t="s">
        <v>34</v>
      </c>
      <c r="F182" s="139">
        <v>6</v>
      </c>
    </row>
    <row r="183" spans="1:6" hidden="1" x14ac:dyDescent="0.25">
      <c r="A183" s="4" t="s">
        <v>97</v>
      </c>
      <c r="B183" s="123" t="s">
        <v>1008</v>
      </c>
      <c r="C183" s="124" t="s">
        <v>1121</v>
      </c>
      <c r="D183" s="41" t="s">
        <v>358</v>
      </c>
      <c r="E183" s="5" t="s">
        <v>34</v>
      </c>
      <c r="F183" s="139">
        <v>12</v>
      </c>
    </row>
    <row r="184" spans="1:6" hidden="1" x14ac:dyDescent="0.25">
      <c r="A184" s="4" t="s">
        <v>98</v>
      </c>
      <c r="B184" s="82" t="s">
        <v>1239</v>
      </c>
      <c r="C184" s="124" t="s">
        <v>406</v>
      </c>
      <c r="D184" s="41" t="s">
        <v>407</v>
      </c>
      <c r="E184" s="5" t="s">
        <v>34</v>
      </c>
      <c r="F184" s="139">
        <v>18</v>
      </c>
    </row>
    <row r="185" spans="1:6" hidden="1" x14ac:dyDescent="0.25">
      <c r="A185" s="4" t="s">
        <v>99</v>
      </c>
      <c r="B185" s="82" t="s">
        <v>1238</v>
      </c>
      <c r="C185" s="124" t="s">
        <v>1147</v>
      </c>
      <c r="D185" s="41" t="s">
        <v>210</v>
      </c>
      <c r="E185" s="5" t="s">
        <v>37</v>
      </c>
      <c r="F185" s="139">
        <v>24</v>
      </c>
    </row>
    <row r="186" spans="1:6" hidden="1" x14ac:dyDescent="0.25">
      <c r="A186" s="4" t="s">
        <v>100</v>
      </c>
      <c r="B186" s="82" t="s">
        <v>1196</v>
      </c>
      <c r="C186" s="124" t="s">
        <v>1007</v>
      </c>
      <c r="D186" s="41" t="s">
        <v>391</v>
      </c>
      <c r="E186" s="5" t="s">
        <v>37</v>
      </c>
      <c r="F186" s="139">
        <v>24</v>
      </c>
    </row>
    <row r="187" spans="1:6" ht="25.5" hidden="1" x14ac:dyDescent="0.25">
      <c r="A187" s="4" t="s">
        <v>101</v>
      </c>
      <c r="B187" s="82" t="s">
        <v>1303</v>
      </c>
      <c r="C187" s="124" t="s">
        <v>1305</v>
      </c>
      <c r="D187" s="41" t="s">
        <v>1304</v>
      </c>
      <c r="E187" s="5" t="s">
        <v>34</v>
      </c>
      <c r="F187" s="139">
        <v>3</v>
      </c>
    </row>
    <row r="188" spans="1:6" hidden="1" x14ac:dyDescent="0.25">
      <c r="A188" s="4" t="s">
        <v>174</v>
      </c>
      <c r="B188" s="82" t="s">
        <v>579</v>
      </c>
      <c r="C188" s="124" t="s">
        <v>1155</v>
      </c>
      <c r="D188" s="41" t="s">
        <v>358</v>
      </c>
      <c r="E188" s="5" t="s">
        <v>34</v>
      </c>
      <c r="F188" s="139">
        <v>1</v>
      </c>
    </row>
    <row r="189" spans="1:6" hidden="1" x14ac:dyDescent="0.25">
      <c r="A189" s="4" t="s">
        <v>175</v>
      </c>
      <c r="B189" s="82" t="s">
        <v>1046</v>
      </c>
      <c r="C189" s="132" t="s">
        <v>1152</v>
      </c>
      <c r="D189" s="41" t="s">
        <v>358</v>
      </c>
      <c r="E189" s="5" t="s">
        <v>34</v>
      </c>
      <c r="F189" s="139">
        <v>3</v>
      </c>
    </row>
    <row r="190" spans="1:6" hidden="1" x14ac:dyDescent="0.25">
      <c r="A190" s="4" t="s">
        <v>282</v>
      </c>
      <c r="B190" s="82" t="s">
        <v>1015</v>
      </c>
      <c r="C190" s="132" t="s">
        <v>1019</v>
      </c>
      <c r="D190" s="41" t="s">
        <v>358</v>
      </c>
      <c r="E190" s="5" t="s">
        <v>34</v>
      </c>
      <c r="F190" s="139">
        <v>6</v>
      </c>
    </row>
    <row r="191" spans="1:6" ht="25.5" hidden="1" x14ac:dyDescent="0.25">
      <c r="A191" s="4" t="s">
        <v>283</v>
      </c>
      <c r="B191" s="82" t="s">
        <v>1227</v>
      </c>
      <c r="C191" s="124" t="s">
        <v>1232</v>
      </c>
      <c r="D191" s="41" t="s">
        <v>230</v>
      </c>
      <c r="E191" s="5" t="s">
        <v>34</v>
      </c>
      <c r="F191" s="139">
        <v>6</v>
      </c>
    </row>
    <row r="192" spans="1:6" hidden="1" x14ac:dyDescent="0.25">
      <c r="A192" s="4" t="s">
        <v>284</v>
      </c>
      <c r="B192" s="82" t="s">
        <v>1237</v>
      </c>
      <c r="C192" s="124" t="s">
        <v>408</v>
      </c>
      <c r="D192" s="41" t="s">
        <v>358</v>
      </c>
      <c r="E192" s="5" t="s">
        <v>34</v>
      </c>
      <c r="F192" s="139">
        <v>6</v>
      </c>
    </row>
    <row r="193" spans="1:6" ht="25.5" hidden="1" customHeight="1" x14ac:dyDescent="0.25">
      <c r="A193" s="4" t="s">
        <v>351</v>
      </c>
      <c r="B193" s="82" t="s">
        <v>1215</v>
      </c>
      <c r="C193" s="124" t="s">
        <v>1216</v>
      </c>
      <c r="D193" s="41" t="s">
        <v>358</v>
      </c>
      <c r="E193" s="5" t="s">
        <v>34</v>
      </c>
      <c r="F193" s="139">
        <v>2</v>
      </c>
    </row>
    <row r="194" spans="1:6" hidden="1" x14ac:dyDescent="0.25">
      <c r="A194" s="4" t="s">
        <v>352</v>
      </c>
      <c r="B194" s="82" t="s">
        <v>1210</v>
      </c>
      <c r="C194" s="124" t="s">
        <v>1144</v>
      </c>
      <c r="D194" s="41" t="s">
        <v>358</v>
      </c>
      <c r="E194" s="5" t="s">
        <v>34</v>
      </c>
      <c r="F194" s="139">
        <v>4</v>
      </c>
    </row>
    <row r="195" spans="1:6" hidden="1" x14ac:dyDescent="0.25">
      <c r="A195" s="4" t="s">
        <v>353</v>
      </c>
      <c r="B195" s="82" t="s">
        <v>1072</v>
      </c>
      <c r="C195" s="124" t="s">
        <v>1071</v>
      </c>
      <c r="D195" s="5" t="s">
        <v>763</v>
      </c>
      <c r="E195" s="5" t="s">
        <v>37</v>
      </c>
      <c r="F195" s="139">
        <v>6</v>
      </c>
    </row>
    <row r="196" spans="1:6" hidden="1" x14ac:dyDescent="0.25">
      <c r="A196" s="4" t="s">
        <v>354</v>
      </c>
      <c r="B196" s="82" t="s">
        <v>1253</v>
      </c>
      <c r="C196" s="124" t="s">
        <v>1122</v>
      </c>
      <c r="D196" s="41" t="s">
        <v>358</v>
      </c>
      <c r="E196" s="5" t="s">
        <v>34</v>
      </c>
      <c r="F196" s="139">
        <v>3</v>
      </c>
    </row>
    <row r="197" spans="1:6" hidden="1" x14ac:dyDescent="0.25">
      <c r="A197" s="4" t="s">
        <v>355</v>
      </c>
      <c r="B197" s="45" t="s">
        <v>985</v>
      </c>
      <c r="C197" s="127" t="s">
        <v>582</v>
      </c>
      <c r="D197" s="41" t="s">
        <v>409</v>
      </c>
      <c r="E197" s="5" t="s">
        <v>34</v>
      </c>
      <c r="F197" s="139">
        <v>72</v>
      </c>
    </row>
    <row r="198" spans="1:6" hidden="1" x14ac:dyDescent="0.25">
      <c r="A198" s="4" t="s">
        <v>356</v>
      </c>
      <c r="B198" s="44" t="s">
        <v>983</v>
      </c>
      <c r="C198" s="127" t="s">
        <v>999</v>
      </c>
      <c r="D198" s="41" t="s">
        <v>210</v>
      </c>
      <c r="E198" s="5" t="s">
        <v>34</v>
      </c>
      <c r="F198" s="139">
        <v>18</v>
      </c>
    </row>
    <row r="199" spans="1:6" hidden="1" x14ac:dyDescent="0.25">
      <c r="A199" s="4" t="s">
        <v>357</v>
      </c>
      <c r="B199" s="45" t="s">
        <v>986</v>
      </c>
      <c r="C199" s="127" t="s">
        <v>583</v>
      </c>
      <c r="D199" s="41" t="s">
        <v>409</v>
      </c>
      <c r="E199" s="5" t="s">
        <v>34</v>
      </c>
      <c r="F199" s="139">
        <v>72</v>
      </c>
    </row>
    <row r="200" spans="1:6" hidden="1" x14ac:dyDescent="0.25">
      <c r="A200" s="4" t="s">
        <v>1184</v>
      </c>
      <c r="B200" s="44" t="s">
        <v>984</v>
      </c>
      <c r="C200" s="127" t="s">
        <v>1001</v>
      </c>
      <c r="D200" s="41" t="s">
        <v>210</v>
      </c>
      <c r="E200" s="5" t="s">
        <v>34</v>
      </c>
      <c r="F200" s="139">
        <v>9</v>
      </c>
    </row>
    <row r="201" spans="1:6" hidden="1" x14ac:dyDescent="0.25">
      <c r="A201" s="52" t="s">
        <v>53</v>
      </c>
      <c r="B201" s="57"/>
      <c r="C201" s="126" t="s">
        <v>377</v>
      </c>
      <c r="D201" s="77"/>
      <c r="E201" s="54"/>
      <c r="F201" s="137"/>
    </row>
    <row r="202" spans="1:6" hidden="1" x14ac:dyDescent="0.25">
      <c r="A202" s="4" t="s">
        <v>102</v>
      </c>
      <c r="B202" s="82" t="s">
        <v>586</v>
      </c>
      <c r="C202" s="124" t="s">
        <v>415</v>
      </c>
      <c r="D202" s="5" t="s">
        <v>414</v>
      </c>
      <c r="E202" s="5" t="s">
        <v>37</v>
      </c>
      <c r="F202" s="139">
        <v>3</v>
      </c>
    </row>
    <row r="203" spans="1:6" ht="25.5" hidden="1" customHeight="1" x14ac:dyDescent="0.25">
      <c r="A203" s="4" t="s">
        <v>103</v>
      </c>
      <c r="B203" s="82" t="s">
        <v>584</v>
      </c>
      <c r="C203" s="124" t="s">
        <v>416</v>
      </c>
      <c r="D203" s="5" t="s">
        <v>414</v>
      </c>
      <c r="E203" s="5" t="s">
        <v>37</v>
      </c>
      <c r="F203" s="139">
        <v>10</v>
      </c>
    </row>
    <row r="204" spans="1:6" hidden="1" x14ac:dyDescent="0.25">
      <c r="A204" s="4" t="s">
        <v>104</v>
      </c>
      <c r="B204" s="82" t="s">
        <v>585</v>
      </c>
      <c r="C204" s="124" t="s">
        <v>417</v>
      </c>
      <c r="D204" s="5" t="s">
        <v>414</v>
      </c>
      <c r="E204" s="5" t="s">
        <v>37</v>
      </c>
      <c r="F204" s="139">
        <v>30</v>
      </c>
    </row>
    <row r="205" spans="1:6" ht="24" hidden="1" customHeight="1" x14ac:dyDescent="0.25">
      <c r="A205" s="4" t="s">
        <v>105</v>
      </c>
      <c r="B205" s="82" t="s">
        <v>1006</v>
      </c>
      <c r="C205" s="124" t="s">
        <v>410</v>
      </c>
      <c r="D205" s="5" t="s">
        <v>414</v>
      </c>
      <c r="E205" s="5" t="s">
        <v>34</v>
      </c>
      <c r="F205" s="139">
        <v>2</v>
      </c>
    </row>
    <row r="206" spans="1:6" ht="24" hidden="1" customHeight="1" x14ac:dyDescent="0.25">
      <c r="A206" s="4" t="s">
        <v>106</v>
      </c>
      <c r="B206" s="82" t="s">
        <v>1036</v>
      </c>
      <c r="C206" s="124" t="s">
        <v>1034</v>
      </c>
      <c r="D206" s="5" t="s">
        <v>414</v>
      </c>
      <c r="E206" s="5" t="s">
        <v>34</v>
      </c>
      <c r="F206" s="139">
        <v>2</v>
      </c>
    </row>
    <row r="207" spans="1:6" ht="24" hidden="1" customHeight="1" x14ac:dyDescent="0.25">
      <c r="A207" s="4" t="s">
        <v>107</v>
      </c>
      <c r="B207" s="82" t="s">
        <v>1039</v>
      </c>
      <c r="C207" s="124" t="s">
        <v>1135</v>
      </c>
      <c r="D207" s="5" t="s">
        <v>414</v>
      </c>
      <c r="E207" s="5" t="s">
        <v>34</v>
      </c>
      <c r="F207" s="139">
        <v>1</v>
      </c>
    </row>
    <row r="208" spans="1:6" hidden="1" x14ac:dyDescent="0.25">
      <c r="A208" s="4" t="s">
        <v>108</v>
      </c>
      <c r="B208" s="82" t="s">
        <v>1040</v>
      </c>
      <c r="C208" s="124" t="s">
        <v>1129</v>
      </c>
      <c r="D208" s="5" t="s">
        <v>414</v>
      </c>
      <c r="E208" s="5" t="s">
        <v>34</v>
      </c>
      <c r="F208" s="139">
        <v>2</v>
      </c>
    </row>
    <row r="209" spans="1:6" ht="24" hidden="1" customHeight="1" x14ac:dyDescent="0.25">
      <c r="A209" s="4" t="s">
        <v>109</v>
      </c>
      <c r="B209" s="82" t="s">
        <v>1037</v>
      </c>
      <c r="C209" s="124" t="s">
        <v>1130</v>
      </c>
      <c r="D209" s="5" t="s">
        <v>414</v>
      </c>
      <c r="E209" s="5" t="s">
        <v>34</v>
      </c>
      <c r="F209" s="139">
        <v>1</v>
      </c>
    </row>
    <row r="210" spans="1:6" ht="24" hidden="1" customHeight="1" x14ac:dyDescent="0.25">
      <c r="A210" s="4" t="s">
        <v>110</v>
      </c>
      <c r="B210" s="82" t="s">
        <v>1146</v>
      </c>
      <c r="C210" s="124" t="s">
        <v>1131</v>
      </c>
      <c r="D210" s="5" t="s">
        <v>414</v>
      </c>
      <c r="E210" s="5" t="s">
        <v>34</v>
      </c>
      <c r="F210" s="139">
        <v>1</v>
      </c>
    </row>
    <row r="211" spans="1:6" ht="23.25" hidden="1" customHeight="1" x14ac:dyDescent="0.25">
      <c r="A211" s="4" t="s">
        <v>111</v>
      </c>
      <c r="B211" s="82" t="s">
        <v>587</v>
      </c>
      <c r="C211" s="124" t="s">
        <v>1132</v>
      </c>
      <c r="D211" s="5" t="s">
        <v>414</v>
      </c>
      <c r="E211" s="5" t="s">
        <v>34</v>
      </c>
      <c r="F211" s="139">
        <v>1</v>
      </c>
    </row>
    <row r="212" spans="1:6" hidden="1" x14ac:dyDescent="0.25">
      <c r="A212" s="4" t="s">
        <v>176</v>
      </c>
      <c r="B212" s="82" t="s">
        <v>1240</v>
      </c>
      <c r="C212" s="124" t="s">
        <v>1035</v>
      </c>
      <c r="D212" s="5" t="s">
        <v>414</v>
      </c>
      <c r="E212" s="5" t="s">
        <v>34</v>
      </c>
      <c r="F212" s="139">
        <v>1</v>
      </c>
    </row>
    <row r="213" spans="1:6" ht="23.25" hidden="1" customHeight="1" x14ac:dyDescent="0.25">
      <c r="A213" s="4" t="s">
        <v>177</v>
      </c>
      <c r="B213" s="82" t="s">
        <v>1051</v>
      </c>
      <c r="C213" s="124" t="s">
        <v>1133</v>
      </c>
      <c r="D213" s="5" t="s">
        <v>414</v>
      </c>
      <c r="E213" s="5" t="s">
        <v>34</v>
      </c>
      <c r="F213" s="139">
        <v>4</v>
      </c>
    </row>
    <row r="214" spans="1:6" ht="24" hidden="1" customHeight="1" x14ac:dyDescent="0.25">
      <c r="A214" s="4" t="s">
        <v>285</v>
      </c>
      <c r="B214" s="82" t="s">
        <v>1010</v>
      </c>
      <c r="C214" s="124" t="s">
        <v>1009</v>
      </c>
      <c r="D214" s="5" t="s">
        <v>414</v>
      </c>
      <c r="E214" s="5" t="s">
        <v>34</v>
      </c>
      <c r="F214" s="139">
        <v>1</v>
      </c>
    </row>
    <row r="215" spans="1:6" ht="23.25" hidden="1" customHeight="1" x14ac:dyDescent="0.25">
      <c r="A215" s="4" t="s">
        <v>286</v>
      </c>
      <c r="B215" s="82" t="s">
        <v>1038</v>
      </c>
      <c r="C215" s="124" t="s">
        <v>1134</v>
      </c>
      <c r="D215" s="5" t="s">
        <v>414</v>
      </c>
      <c r="E215" s="5" t="s">
        <v>34</v>
      </c>
      <c r="F215" s="139">
        <v>6</v>
      </c>
    </row>
    <row r="216" spans="1:6" ht="25.5" hidden="1" customHeight="1" x14ac:dyDescent="0.25">
      <c r="A216" s="52" t="s">
        <v>54</v>
      </c>
      <c r="B216" s="57"/>
      <c r="C216" s="126" t="s">
        <v>378</v>
      </c>
      <c r="D216" s="77"/>
      <c r="E216" s="54"/>
      <c r="F216" s="137"/>
    </row>
    <row r="217" spans="1:6" ht="35.25" hidden="1" customHeight="1" x14ac:dyDescent="0.25">
      <c r="A217" s="4" t="s">
        <v>112</v>
      </c>
      <c r="B217" s="82" t="s">
        <v>588</v>
      </c>
      <c r="C217" s="124" t="s">
        <v>1073</v>
      </c>
      <c r="D217" s="5" t="s">
        <v>231</v>
      </c>
      <c r="E217" s="5" t="s">
        <v>37</v>
      </c>
      <c r="F217" s="139">
        <v>40</v>
      </c>
    </row>
    <row r="218" spans="1:6" hidden="1" x14ac:dyDescent="0.25">
      <c r="A218" s="4" t="s">
        <v>113</v>
      </c>
      <c r="B218" s="82" t="s">
        <v>589</v>
      </c>
      <c r="C218" s="124" t="s">
        <v>1115</v>
      </c>
      <c r="D218" s="5" t="s">
        <v>231</v>
      </c>
      <c r="E218" s="5" t="s">
        <v>34</v>
      </c>
      <c r="F218" s="139">
        <v>1</v>
      </c>
    </row>
    <row r="219" spans="1:6" hidden="1" x14ac:dyDescent="0.25">
      <c r="A219" s="4" t="s">
        <v>114</v>
      </c>
      <c r="B219" s="82" t="s">
        <v>590</v>
      </c>
      <c r="C219" s="124" t="s">
        <v>1116</v>
      </c>
      <c r="D219" s="5" t="s">
        <v>231</v>
      </c>
      <c r="E219" s="5" t="s">
        <v>34</v>
      </c>
      <c r="F219" s="139">
        <v>7</v>
      </c>
    </row>
    <row r="220" spans="1:6" ht="12.75" hidden="1" customHeight="1" x14ac:dyDescent="0.25">
      <c r="A220" s="4" t="s">
        <v>115</v>
      </c>
      <c r="B220" s="82" t="s">
        <v>591</v>
      </c>
      <c r="C220" s="124" t="s">
        <v>1111</v>
      </c>
      <c r="D220" s="5" t="s">
        <v>231</v>
      </c>
      <c r="E220" s="5" t="s">
        <v>34</v>
      </c>
      <c r="F220" s="139">
        <v>4</v>
      </c>
    </row>
    <row r="221" spans="1:6" hidden="1" x14ac:dyDescent="0.25">
      <c r="A221" s="4" t="s">
        <v>116</v>
      </c>
      <c r="B221" s="82" t="s">
        <v>592</v>
      </c>
      <c r="C221" s="124" t="s">
        <v>1045</v>
      </c>
      <c r="D221" s="41" t="s">
        <v>230</v>
      </c>
      <c r="E221" s="5" t="s">
        <v>34</v>
      </c>
      <c r="F221" s="139">
        <v>2</v>
      </c>
    </row>
    <row r="222" spans="1:6" ht="25.5" hidden="1" customHeight="1" x14ac:dyDescent="0.25">
      <c r="A222" s="4" t="s">
        <v>117</v>
      </c>
      <c r="B222" s="82" t="s">
        <v>593</v>
      </c>
      <c r="C222" s="124" t="s">
        <v>1117</v>
      </c>
      <c r="D222" s="5" t="s">
        <v>231</v>
      </c>
      <c r="E222" s="5" t="s">
        <v>34</v>
      </c>
      <c r="F222" s="139">
        <v>3</v>
      </c>
    </row>
    <row r="223" spans="1:6" hidden="1" x14ac:dyDescent="0.25">
      <c r="A223" s="4" t="s">
        <v>343</v>
      </c>
      <c r="B223" s="82" t="s">
        <v>594</v>
      </c>
      <c r="C223" s="124" t="s">
        <v>1118</v>
      </c>
      <c r="D223" s="5" t="s">
        <v>231</v>
      </c>
      <c r="E223" s="5" t="s">
        <v>34</v>
      </c>
      <c r="F223" s="139">
        <v>2</v>
      </c>
    </row>
    <row r="224" spans="1:6" hidden="1" x14ac:dyDescent="0.25">
      <c r="A224" s="4" t="s">
        <v>344</v>
      </c>
      <c r="B224" s="82" t="s">
        <v>595</v>
      </c>
      <c r="C224" s="124" t="s">
        <v>1074</v>
      </c>
      <c r="D224" s="5" t="s">
        <v>231</v>
      </c>
      <c r="E224" s="5" t="s">
        <v>37</v>
      </c>
      <c r="F224" s="139">
        <v>12</v>
      </c>
    </row>
    <row r="225" spans="1:6" ht="25.5" hidden="1" x14ac:dyDescent="0.25">
      <c r="A225" s="4" t="s">
        <v>345</v>
      </c>
      <c r="B225" s="82" t="s">
        <v>596</v>
      </c>
      <c r="C225" s="124" t="s">
        <v>1119</v>
      </c>
      <c r="D225" s="5" t="s">
        <v>231</v>
      </c>
      <c r="E225" s="5" t="s">
        <v>34</v>
      </c>
      <c r="F225" s="139">
        <v>5</v>
      </c>
    </row>
    <row r="226" spans="1:6" hidden="1" x14ac:dyDescent="0.25">
      <c r="A226" s="4" t="s">
        <v>346</v>
      </c>
      <c r="B226" s="82" t="s">
        <v>597</v>
      </c>
      <c r="C226" s="124" t="s">
        <v>1120</v>
      </c>
      <c r="D226" s="5" t="s">
        <v>231</v>
      </c>
      <c r="E226" s="5" t="s">
        <v>34</v>
      </c>
      <c r="F226" s="139">
        <v>4</v>
      </c>
    </row>
    <row r="227" spans="1:6" ht="25.5" hidden="1" x14ac:dyDescent="0.25">
      <c r="A227" s="4" t="s">
        <v>347</v>
      </c>
      <c r="B227" s="82" t="s">
        <v>987</v>
      </c>
      <c r="C227" s="124" t="s">
        <v>1112</v>
      </c>
      <c r="D227" s="5" t="s">
        <v>231</v>
      </c>
      <c r="E227" s="5" t="s">
        <v>34</v>
      </c>
      <c r="F227" s="139">
        <v>2</v>
      </c>
    </row>
    <row r="228" spans="1:6" ht="25.5" hidden="1" customHeight="1" x14ac:dyDescent="0.25">
      <c r="A228" s="4" t="s">
        <v>348</v>
      </c>
      <c r="B228" s="82" t="s">
        <v>578</v>
      </c>
      <c r="C228" s="124" t="s">
        <v>577</v>
      </c>
      <c r="D228" s="41" t="s">
        <v>230</v>
      </c>
      <c r="E228" s="5" t="s">
        <v>34</v>
      </c>
      <c r="F228" s="139">
        <v>1</v>
      </c>
    </row>
    <row r="229" spans="1:6" hidden="1" x14ac:dyDescent="0.25">
      <c r="A229" s="4" t="s">
        <v>349</v>
      </c>
      <c r="B229" s="82" t="s">
        <v>598</v>
      </c>
      <c r="C229" s="124" t="s">
        <v>1044</v>
      </c>
      <c r="D229" s="41" t="s">
        <v>230</v>
      </c>
      <c r="E229" s="5" t="s">
        <v>34</v>
      </c>
      <c r="F229" s="139">
        <v>1</v>
      </c>
    </row>
    <row r="230" spans="1:6" hidden="1" x14ac:dyDescent="0.25">
      <c r="A230" s="4" t="s">
        <v>350</v>
      </c>
      <c r="B230" s="82" t="s">
        <v>1052</v>
      </c>
      <c r="C230" s="124" t="s">
        <v>1113</v>
      </c>
      <c r="D230" s="5" t="s">
        <v>231</v>
      </c>
      <c r="E230" s="5" t="s">
        <v>34</v>
      </c>
      <c r="F230" s="139">
        <v>1</v>
      </c>
    </row>
    <row r="231" spans="1:6" hidden="1" x14ac:dyDescent="0.25">
      <c r="A231" s="4" t="s">
        <v>411</v>
      </c>
      <c r="B231" s="82" t="s">
        <v>599</v>
      </c>
      <c r="C231" s="124" t="s">
        <v>1114</v>
      </c>
      <c r="D231" s="5" t="s">
        <v>231</v>
      </c>
      <c r="E231" s="5" t="s">
        <v>34</v>
      </c>
      <c r="F231" s="139">
        <v>1</v>
      </c>
    </row>
    <row r="232" spans="1:6" hidden="1" x14ac:dyDescent="0.25">
      <c r="A232" s="4" t="s">
        <v>412</v>
      </c>
      <c r="B232" s="82" t="s">
        <v>1054</v>
      </c>
      <c r="C232" s="124" t="s">
        <v>1053</v>
      </c>
      <c r="D232" s="5" t="s">
        <v>231</v>
      </c>
      <c r="E232" s="5" t="s">
        <v>34</v>
      </c>
      <c r="F232" s="139">
        <v>3</v>
      </c>
    </row>
    <row r="233" spans="1:6" hidden="1" x14ac:dyDescent="0.25">
      <c r="A233" s="4" t="s">
        <v>413</v>
      </c>
      <c r="B233" s="82" t="s">
        <v>1055</v>
      </c>
      <c r="C233" s="124" t="s">
        <v>1056</v>
      </c>
      <c r="D233" s="5" t="s">
        <v>231</v>
      </c>
      <c r="E233" s="5" t="s">
        <v>34</v>
      </c>
      <c r="F233" s="139">
        <v>1</v>
      </c>
    </row>
    <row r="234" spans="1:6" hidden="1" x14ac:dyDescent="0.25">
      <c r="A234" s="52" t="s">
        <v>429</v>
      </c>
      <c r="B234" s="57"/>
      <c r="C234" s="126" t="s">
        <v>430</v>
      </c>
      <c r="D234" s="77"/>
      <c r="E234" s="54"/>
      <c r="F234" s="137"/>
    </row>
    <row r="235" spans="1:6" ht="25.5" hidden="1" x14ac:dyDescent="0.25">
      <c r="A235" s="4" t="s">
        <v>431</v>
      </c>
      <c r="B235" s="82" t="s">
        <v>600</v>
      </c>
      <c r="C235" s="124" t="s">
        <v>442</v>
      </c>
      <c r="D235" s="5" t="s">
        <v>230</v>
      </c>
      <c r="E235" s="5" t="s">
        <v>37</v>
      </c>
      <c r="F235" s="139">
        <v>215</v>
      </c>
    </row>
    <row r="236" spans="1:6" ht="25.5" hidden="1" x14ac:dyDescent="0.25">
      <c r="A236" s="4" t="s">
        <v>432</v>
      </c>
      <c r="B236" s="82" t="s">
        <v>558</v>
      </c>
      <c r="C236" s="124" t="s">
        <v>443</v>
      </c>
      <c r="D236" s="5" t="s">
        <v>230</v>
      </c>
      <c r="E236" s="5" t="s">
        <v>37</v>
      </c>
      <c r="F236" s="139">
        <v>85</v>
      </c>
    </row>
    <row r="237" spans="1:6" ht="25.5" hidden="1" x14ac:dyDescent="0.25">
      <c r="A237" s="4" t="s">
        <v>433</v>
      </c>
      <c r="B237" s="82" t="s">
        <v>558</v>
      </c>
      <c r="C237" s="124" t="s">
        <v>444</v>
      </c>
      <c r="D237" s="5" t="s">
        <v>230</v>
      </c>
      <c r="E237" s="5" t="s">
        <v>37</v>
      </c>
      <c r="F237" s="139">
        <v>85</v>
      </c>
    </row>
    <row r="238" spans="1:6" ht="25.5" hidden="1" x14ac:dyDescent="0.25">
      <c r="A238" s="4" t="s">
        <v>434</v>
      </c>
      <c r="B238" s="82" t="s">
        <v>558</v>
      </c>
      <c r="C238" s="124" t="s">
        <v>445</v>
      </c>
      <c r="D238" s="5" t="s">
        <v>230</v>
      </c>
      <c r="E238" s="5" t="s">
        <v>37</v>
      </c>
      <c r="F238" s="139">
        <v>85</v>
      </c>
    </row>
    <row r="239" spans="1:6" ht="25.5" hidden="1" x14ac:dyDescent="0.25">
      <c r="A239" s="4" t="s">
        <v>435</v>
      </c>
      <c r="B239" s="82" t="s">
        <v>559</v>
      </c>
      <c r="C239" s="124" t="s">
        <v>446</v>
      </c>
      <c r="D239" s="5" t="s">
        <v>230</v>
      </c>
      <c r="E239" s="5" t="s">
        <v>37</v>
      </c>
      <c r="F239" s="139">
        <v>120</v>
      </c>
    </row>
    <row r="240" spans="1:6" ht="25.5" hidden="1" x14ac:dyDescent="0.25">
      <c r="A240" s="4" t="s">
        <v>436</v>
      </c>
      <c r="B240" s="82" t="s">
        <v>559</v>
      </c>
      <c r="C240" s="124" t="s">
        <v>447</v>
      </c>
      <c r="D240" s="5" t="s">
        <v>230</v>
      </c>
      <c r="E240" s="5" t="s">
        <v>37</v>
      </c>
      <c r="F240" s="139">
        <v>40</v>
      </c>
    </row>
    <row r="241" spans="1:6" ht="25.5" hidden="1" x14ac:dyDescent="0.25">
      <c r="A241" s="4" t="s">
        <v>437</v>
      </c>
      <c r="B241" s="82" t="s">
        <v>559</v>
      </c>
      <c r="C241" s="124" t="s">
        <v>448</v>
      </c>
      <c r="D241" s="5" t="s">
        <v>230</v>
      </c>
      <c r="E241" s="5" t="s">
        <v>37</v>
      </c>
      <c r="F241" s="139">
        <v>5</v>
      </c>
    </row>
    <row r="242" spans="1:6" ht="25.5" hidden="1" x14ac:dyDescent="0.25">
      <c r="A242" s="4" t="s">
        <v>438</v>
      </c>
      <c r="B242" s="82" t="s">
        <v>601</v>
      </c>
      <c r="C242" s="124" t="s">
        <v>449</v>
      </c>
      <c r="D242" s="5" t="s">
        <v>230</v>
      </c>
      <c r="E242" s="5" t="s">
        <v>37</v>
      </c>
      <c r="F242" s="139">
        <v>110</v>
      </c>
    </row>
    <row r="243" spans="1:6" ht="25.5" hidden="1" x14ac:dyDescent="0.25">
      <c r="A243" s="4" t="s">
        <v>439</v>
      </c>
      <c r="B243" s="82" t="s">
        <v>601</v>
      </c>
      <c r="C243" s="124" t="s">
        <v>450</v>
      </c>
      <c r="D243" s="5" t="s">
        <v>230</v>
      </c>
      <c r="E243" s="5" t="s">
        <v>37</v>
      </c>
      <c r="F243" s="139">
        <v>40</v>
      </c>
    </row>
    <row r="244" spans="1:6" ht="25.5" hidden="1" x14ac:dyDescent="0.25">
      <c r="A244" s="4" t="s">
        <v>440</v>
      </c>
      <c r="B244" s="82" t="s">
        <v>601</v>
      </c>
      <c r="C244" s="124" t="s">
        <v>834</v>
      </c>
      <c r="D244" s="5" t="s">
        <v>230</v>
      </c>
      <c r="E244" s="5" t="s">
        <v>37</v>
      </c>
      <c r="F244" s="139">
        <v>40</v>
      </c>
    </row>
    <row r="245" spans="1:6" ht="25.5" hidden="1" x14ac:dyDescent="0.25">
      <c r="A245" s="4" t="s">
        <v>441</v>
      </c>
      <c r="B245" s="82" t="s">
        <v>602</v>
      </c>
      <c r="C245" s="124" t="s">
        <v>451</v>
      </c>
      <c r="D245" s="5" t="s">
        <v>230</v>
      </c>
      <c r="E245" s="5" t="s">
        <v>37</v>
      </c>
      <c r="F245" s="139">
        <v>5</v>
      </c>
    </row>
    <row r="246" spans="1:6" ht="25.5" hidden="1" x14ac:dyDescent="0.25">
      <c r="A246" s="4" t="s">
        <v>453</v>
      </c>
      <c r="B246" s="82" t="s">
        <v>602</v>
      </c>
      <c r="C246" s="124" t="s">
        <v>452</v>
      </c>
      <c r="D246" s="5" t="s">
        <v>230</v>
      </c>
      <c r="E246" s="5" t="s">
        <v>37</v>
      </c>
      <c r="F246" s="139">
        <v>20</v>
      </c>
    </row>
    <row r="247" spans="1:6" hidden="1" x14ac:dyDescent="0.25">
      <c r="A247" s="4" t="s">
        <v>454</v>
      </c>
      <c r="B247" s="82" t="s">
        <v>603</v>
      </c>
      <c r="C247" s="124" t="s">
        <v>460</v>
      </c>
      <c r="D247" s="5" t="s">
        <v>230</v>
      </c>
      <c r="E247" s="5" t="s">
        <v>35</v>
      </c>
      <c r="F247" s="139">
        <v>2</v>
      </c>
    </row>
    <row r="248" spans="1:6" ht="25.5" hidden="1" x14ac:dyDescent="0.25">
      <c r="A248" s="4" t="s">
        <v>455</v>
      </c>
      <c r="B248" s="82" t="s">
        <v>604</v>
      </c>
      <c r="C248" s="124" t="s">
        <v>461</v>
      </c>
      <c r="D248" s="5" t="s">
        <v>230</v>
      </c>
      <c r="E248" s="5" t="s">
        <v>35</v>
      </c>
      <c r="F248" s="139">
        <v>2</v>
      </c>
    </row>
    <row r="249" spans="1:6" ht="25.5" hidden="1" x14ac:dyDescent="0.25">
      <c r="A249" s="4" t="s">
        <v>456</v>
      </c>
      <c r="B249" s="82" t="s">
        <v>838</v>
      </c>
      <c r="C249" s="124" t="s">
        <v>837</v>
      </c>
      <c r="D249" s="5" t="s">
        <v>230</v>
      </c>
      <c r="E249" s="5" t="s">
        <v>35</v>
      </c>
      <c r="F249" s="139">
        <v>1</v>
      </c>
    </row>
    <row r="250" spans="1:6" hidden="1" x14ac:dyDescent="0.25">
      <c r="A250" s="4" t="s">
        <v>457</v>
      </c>
      <c r="B250" s="82" t="s">
        <v>605</v>
      </c>
      <c r="C250" s="124" t="s">
        <v>1025</v>
      </c>
      <c r="D250" s="5" t="s">
        <v>230</v>
      </c>
      <c r="E250" s="5" t="s">
        <v>35</v>
      </c>
      <c r="F250" s="139">
        <v>1</v>
      </c>
    </row>
    <row r="251" spans="1:6" hidden="1" x14ac:dyDescent="0.25">
      <c r="A251" s="4" t="s">
        <v>458</v>
      </c>
      <c r="B251" s="82" t="s">
        <v>606</v>
      </c>
      <c r="C251" s="124" t="s">
        <v>1026</v>
      </c>
      <c r="D251" s="5" t="s">
        <v>230</v>
      </c>
      <c r="E251" s="5" t="s">
        <v>35</v>
      </c>
      <c r="F251" s="139">
        <v>1</v>
      </c>
    </row>
    <row r="252" spans="1:6" hidden="1" x14ac:dyDescent="0.25">
      <c r="A252" s="4" t="s">
        <v>459</v>
      </c>
      <c r="B252" s="82" t="s">
        <v>1141</v>
      </c>
      <c r="C252" s="124" t="s">
        <v>1140</v>
      </c>
      <c r="D252" s="5" t="s">
        <v>230</v>
      </c>
      <c r="E252" s="5" t="s">
        <v>35</v>
      </c>
      <c r="F252" s="139">
        <v>2</v>
      </c>
    </row>
    <row r="253" spans="1:6" hidden="1" x14ac:dyDescent="0.25">
      <c r="A253" s="4" t="s">
        <v>463</v>
      </c>
      <c r="B253" s="82" t="s">
        <v>1138</v>
      </c>
      <c r="C253" s="124" t="s">
        <v>1136</v>
      </c>
      <c r="D253" s="5" t="s">
        <v>230</v>
      </c>
      <c r="E253" s="5" t="s">
        <v>35</v>
      </c>
      <c r="F253" s="139">
        <v>1</v>
      </c>
    </row>
    <row r="254" spans="1:6" hidden="1" x14ac:dyDescent="0.25">
      <c r="A254" s="4" t="s">
        <v>464</v>
      </c>
      <c r="B254" s="82" t="s">
        <v>1139</v>
      </c>
      <c r="C254" s="124" t="s">
        <v>1137</v>
      </c>
      <c r="D254" s="5" t="s">
        <v>230</v>
      </c>
      <c r="E254" s="5" t="s">
        <v>35</v>
      </c>
      <c r="F254" s="139">
        <v>2</v>
      </c>
    </row>
    <row r="255" spans="1:6" hidden="1" x14ac:dyDescent="0.25">
      <c r="A255" s="4" t="s">
        <v>465</v>
      </c>
      <c r="B255" s="82" t="s">
        <v>560</v>
      </c>
      <c r="C255" s="124" t="s">
        <v>462</v>
      </c>
      <c r="D255" s="5" t="s">
        <v>230</v>
      </c>
      <c r="E255" s="5" t="s">
        <v>37</v>
      </c>
      <c r="F255" s="139">
        <v>140</v>
      </c>
    </row>
    <row r="256" spans="1:6" hidden="1" x14ac:dyDescent="0.25">
      <c r="A256" s="4" t="s">
        <v>468</v>
      </c>
      <c r="B256" s="82" t="s">
        <v>607</v>
      </c>
      <c r="C256" s="124" t="s">
        <v>466</v>
      </c>
      <c r="D256" s="5" t="s">
        <v>230</v>
      </c>
      <c r="E256" s="5" t="s">
        <v>37</v>
      </c>
      <c r="F256" s="139">
        <v>75</v>
      </c>
    </row>
    <row r="257" spans="1:6" hidden="1" x14ac:dyDescent="0.25">
      <c r="A257" s="4" t="s">
        <v>469</v>
      </c>
      <c r="B257" s="82" t="s">
        <v>608</v>
      </c>
      <c r="C257" s="124" t="s">
        <v>467</v>
      </c>
      <c r="D257" s="5" t="s">
        <v>230</v>
      </c>
      <c r="E257" s="5" t="s">
        <v>37</v>
      </c>
      <c r="F257" s="139">
        <v>20</v>
      </c>
    </row>
    <row r="258" spans="1:6" hidden="1" x14ac:dyDescent="0.25">
      <c r="A258" s="4" t="s">
        <v>470</v>
      </c>
      <c r="B258" s="82" t="s">
        <v>1096</v>
      </c>
      <c r="C258" s="124" t="s">
        <v>1095</v>
      </c>
      <c r="D258" s="5" t="s">
        <v>230</v>
      </c>
      <c r="E258" s="5" t="s">
        <v>37</v>
      </c>
      <c r="F258" s="139">
        <v>0.5</v>
      </c>
    </row>
    <row r="259" spans="1:6" hidden="1" x14ac:dyDescent="0.25">
      <c r="A259" s="4" t="s">
        <v>471</v>
      </c>
      <c r="B259" s="82" t="s">
        <v>564</v>
      </c>
      <c r="C259" s="124" t="s">
        <v>1107</v>
      </c>
      <c r="D259" s="5" t="s">
        <v>230</v>
      </c>
      <c r="E259" s="5" t="s">
        <v>35</v>
      </c>
      <c r="F259" s="139">
        <v>50</v>
      </c>
    </row>
    <row r="260" spans="1:6" hidden="1" x14ac:dyDescent="0.25">
      <c r="A260" s="4" t="s">
        <v>472</v>
      </c>
      <c r="B260" s="82" t="s">
        <v>609</v>
      </c>
      <c r="C260" s="124" t="s">
        <v>1109</v>
      </c>
      <c r="D260" s="5" t="s">
        <v>230</v>
      </c>
      <c r="E260" s="5" t="s">
        <v>35</v>
      </c>
      <c r="F260" s="139">
        <v>25</v>
      </c>
    </row>
    <row r="261" spans="1:6" hidden="1" x14ac:dyDescent="0.25">
      <c r="A261" s="4" t="s">
        <v>473</v>
      </c>
      <c r="B261" s="82" t="s">
        <v>610</v>
      </c>
      <c r="C261" s="124" t="s">
        <v>1110</v>
      </c>
      <c r="D261" s="5" t="s">
        <v>230</v>
      </c>
      <c r="E261" s="5" t="s">
        <v>35</v>
      </c>
      <c r="F261" s="139">
        <v>10</v>
      </c>
    </row>
    <row r="262" spans="1:6" ht="25.5" hidden="1" x14ac:dyDescent="0.25">
      <c r="A262" s="4" t="s">
        <v>474</v>
      </c>
      <c r="B262" s="82" t="s">
        <v>1310</v>
      </c>
      <c r="C262" s="124" t="s">
        <v>478</v>
      </c>
      <c r="D262" s="5" t="s">
        <v>230</v>
      </c>
      <c r="E262" s="5" t="s">
        <v>37</v>
      </c>
      <c r="F262" s="139">
        <v>8</v>
      </c>
    </row>
    <row r="263" spans="1:6" hidden="1" x14ac:dyDescent="0.25">
      <c r="A263" s="4" t="s">
        <v>475</v>
      </c>
      <c r="B263" s="82" t="s">
        <v>611</v>
      </c>
      <c r="C263" s="124" t="s">
        <v>508</v>
      </c>
      <c r="D263" s="5" t="s">
        <v>230</v>
      </c>
      <c r="E263" s="5" t="s">
        <v>35</v>
      </c>
      <c r="F263" s="139">
        <v>3</v>
      </c>
    </row>
    <row r="264" spans="1:6" hidden="1" x14ac:dyDescent="0.25">
      <c r="A264" s="4" t="s">
        <v>476</v>
      </c>
      <c r="B264" s="82" t="s">
        <v>612</v>
      </c>
      <c r="C264" s="124" t="s">
        <v>484</v>
      </c>
      <c r="D264" s="5" t="s">
        <v>230</v>
      </c>
      <c r="E264" s="5" t="s">
        <v>35</v>
      </c>
      <c r="F264" s="139">
        <v>1</v>
      </c>
    </row>
    <row r="265" spans="1:6" hidden="1" x14ac:dyDescent="0.25">
      <c r="A265" s="4" t="s">
        <v>480</v>
      </c>
      <c r="B265" s="82" t="s">
        <v>613</v>
      </c>
      <c r="C265" s="124" t="s">
        <v>509</v>
      </c>
      <c r="D265" s="5" t="s">
        <v>230</v>
      </c>
      <c r="E265" s="5" t="s">
        <v>35</v>
      </c>
      <c r="F265" s="139">
        <v>3</v>
      </c>
    </row>
    <row r="266" spans="1:6" hidden="1" x14ac:dyDescent="0.25">
      <c r="A266" s="4" t="s">
        <v>481</v>
      </c>
      <c r="B266" s="82" t="s">
        <v>569</v>
      </c>
      <c r="C266" s="124" t="s">
        <v>486</v>
      </c>
      <c r="D266" s="5" t="s">
        <v>230</v>
      </c>
      <c r="E266" s="5" t="s">
        <v>487</v>
      </c>
      <c r="F266" s="139">
        <v>0.48</v>
      </c>
    </row>
    <row r="267" spans="1:6" hidden="1" x14ac:dyDescent="0.25">
      <c r="A267" s="4" t="s">
        <v>482</v>
      </c>
      <c r="B267" s="82" t="s">
        <v>570</v>
      </c>
      <c r="C267" s="124" t="s">
        <v>488</v>
      </c>
      <c r="D267" s="5" t="s">
        <v>230</v>
      </c>
      <c r="E267" s="5" t="s">
        <v>35</v>
      </c>
      <c r="F267" s="139">
        <v>3</v>
      </c>
    </row>
    <row r="268" spans="1:6" hidden="1" x14ac:dyDescent="0.25">
      <c r="A268" s="4" t="s">
        <v>483</v>
      </c>
      <c r="B268" s="82" t="s">
        <v>1005</v>
      </c>
      <c r="C268" s="124" t="s">
        <v>489</v>
      </c>
      <c r="D268" s="5" t="s">
        <v>230</v>
      </c>
      <c r="E268" s="5" t="s">
        <v>35</v>
      </c>
      <c r="F268" s="139">
        <v>1</v>
      </c>
    </row>
    <row r="269" spans="1:6" hidden="1" x14ac:dyDescent="0.25">
      <c r="A269" s="4" t="s">
        <v>490</v>
      </c>
      <c r="B269" s="82" t="s">
        <v>571</v>
      </c>
      <c r="C269" s="124" t="s">
        <v>496</v>
      </c>
      <c r="D269" s="5" t="s">
        <v>230</v>
      </c>
      <c r="E269" s="5" t="s">
        <v>35</v>
      </c>
      <c r="F269" s="139">
        <v>3</v>
      </c>
    </row>
    <row r="270" spans="1:6" hidden="1" x14ac:dyDescent="0.25">
      <c r="A270" s="4" t="s">
        <v>491</v>
      </c>
      <c r="B270" s="82" t="s">
        <v>572</v>
      </c>
      <c r="C270" s="124" t="s">
        <v>497</v>
      </c>
      <c r="D270" s="5" t="s">
        <v>230</v>
      </c>
      <c r="E270" s="5" t="s">
        <v>35</v>
      </c>
      <c r="F270" s="139">
        <v>6</v>
      </c>
    </row>
    <row r="271" spans="1:6" hidden="1" x14ac:dyDescent="0.25">
      <c r="A271" s="4" t="s">
        <v>492</v>
      </c>
      <c r="B271" s="82" t="s">
        <v>573</v>
      </c>
      <c r="C271" s="124" t="s">
        <v>498</v>
      </c>
      <c r="D271" s="5" t="s">
        <v>230</v>
      </c>
      <c r="E271" s="5" t="s">
        <v>35</v>
      </c>
      <c r="F271" s="139">
        <v>6</v>
      </c>
    </row>
    <row r="272" spans="1:6" ht="25.5" hidden="1" x14ac:dyDescent="0.25">
      <c r="A272" s="4" t="s">
        <v>493</v>
      </c>
      <c r="B272" s="82" t="s">
        <v>574</v>
      </c>
      <c r="C272" s="124" t="s">
        <v>499</v>
      </c>
      <c r="D272" s="5" t="s">
        <v>230</v>
      </c>
      <c r="E272" s="5" t="s">
        <v>35</v>
      </c>
      <c r="F272" s="139">
        <v>6</v>
      </c>
    </row>
    <row r="273" spans="1:6" ht="12.75" hidden="1" customHeight="1" x14ac:dyDescent="0.25">
      <c r="A273" s="4" t="s">
        <v>494</v>
      </c>
      <c r="B273" s="82" t="s">
        <v>614</v>
      </c>
      <c r="C273" s="124" t="s">
        <v>500</v>
      </c>
      <c r="D273" s="5" t="s">
        <v>230</v>
      </c>
      <c r="E273" s="5" t="s">
        <v>35</v>
      </c>
      <c r="F273" s="139">
        <v>2</v>
      </c>
    </row>
    <row r="274" spans="1:6" ht="12.75" hidden="1" customHeight="1" x14ac:dyDescent="0.25">
      <c r="A274" s="4" t="s">
        <v>495</v>
      </c>
      <c r="B274" s="82" t="s">
        <v>615</v>
      </c>
      <c r="C274" s="124" t="s">
        <v>501</v>
      </c>
      <c r="D274" s="5" t="s">
        <v>230</v>
      </c>
      <c r="E274" s="5" t="s">
        <v>35</v>
      </c>
      <c r="F274" s="139">
        <v>2</v>
      </c>
    </row>
    <row r="275" spans="1:6" ht="25.5" hidden="1" x14ac:dyDescent="0.25">
      <c r="A275" s="4" t="s">
        <v>502</v>
      </c>
      <c r="B275" s="82" t="s">
        <v>616</v>
      </c>
      <c r="C275" s="124" t="s">
        <v>506</v>
      </c>
      <c r="D275" s="5" t="s">
        <v>230</v>
      </c>
      <c r="E275" s="5" t="s">
        <v>35</v>
      </c>
      <c r="F275" s="139">
        <v>13</v>
      </c>
    </row>
    <row r="276" spans="1:6" hidden="1" x14ac:dyDescent="0.25">
      <c r="A276" s="4" t="s">
        <v>503</v>
      </c>
      <c r="B276" s="82" t="s">
        <v>617</v>
      </c>
      <c r="C276" s="124" t="s">
        <v>507</v>
      </c>
      <c r="D276" s="5" t="s">
        <v>230</v>
      </c>
      <c r="E276" s="5" t="s">
        <v>35</v>
      </c>
      <c r="F276" s="139">
        <v>13</v>
      </c>
    </row>
    <row r="277" spans="1:6" hidden="1" x14ac:dyDescent="0.25">
      <c r="A277" s="4" t="s">
        <v>504</v>
      </c>
      <c r="B277" s="82" t="s">
        <v>618</v>
      </c>
      <c r="C277" s="124" t="s">
        <v>555</v>
      </c>
      <c r="D277" s="5" t="s">
        <v>230</v>
      </c>
      <c r="E277" s="5" t="s">
        <v>37</v>
      </c>
      <c r="F277" s="139">
        <v>115</v>
      </c>
    </row>
    <row r="278" spans="1:6" ht="25.5" hidden="1" x14ac:dyDescent="0.25">
      <c r="A278" s="4" t="s">
        <v>505</v>
      </c>
      <c r="B278" s="82" t="s">
        <v>619</v>
      </c>
      <c r="C278" s="124" t="s">
        <v>477</v>
      </c>
      <c r="D278" s="5" t="s">
        <v>230</v>
      </c>
      <c r="E278" s="5" t="s">
        <v>37</v>
      </c>
      <c r="F278" s="139">
        <v>20</v>
      </c>
    </row>
    <row r="279" spans="1:6" ht="12.75" hidden="1" customHeight="1" x14ac:dyDescent="0.25">
      <c r="A279" s="4" t="s">
        <v>930</v>
      </c>
      <c r="B279" s="82" t="s">
        <v>620</v>
      </c>
      <c r="C279" s="124" t="s">
        <v>479</v>
      </c>
      <c r="D279" s="5" t="s">
        <v>230</v>
      </c>
      <c r="E279" s="5" t="s">
        <v>35</v>
      </c>
      <c r="F279" s="139">
        <v>3</v>
      </c>
    </row>
    <row r="280" spans="1:6" hidden="1" x14ac:dyDescent="0.25">
      <c r="A280" s="4" t="s">
        <v>931</v>
      </c>
      <c r="B280" s="82" t="s">
        <v>568</v>
      </c>
      <c r="C280" s="124" t="s">
        <v>485</v>
      </c>
      <c r="D280" s="5" t="s">
        <v>230</v>
      </c>
      <c r="E280" s="5" t="s">
        <v>35</v>
      </c>
      <c r="F280" s="139">
        <v>10</v>
      </c>
    </row>
    <row r="281" spans="1:6" hidden="1" x14ac:dyDescent="0.25">
      <c r="A281" s="4" t="s">
        <v>932</v>
      </c>
      <c r="B281" s="82" t="s">
        <v>836</v>
      </c>
      <c r="C281" s="124" t="s">
        <v>835</v>
      </c>
      <c r="D281" s="5" t="s">
        <v>230</v>
      </c>
      <c r="E281" s="5" t="s">
        <v>35</v>
      </c>
      <c r="F281" s="139">
        <v>1</v>
      </c>
    </row>
    <row r="282" spans="1:6" ht="89.25" x14ac:dyDescent="0.25">
      <c r="A282" s="4" t="s">
        <v>933</v>
      </c>
      <c r="B282" s="82" t="s">
        <v>1312</v>
      </c>
      <c r="C282" s="128" t="s">
        <v>1314</v>
      </c>
      <c r="D282" s="5" t="s">
        <v>230</v>
      </c>
      <c r="E282" s="5" t="s">
        <v>35</v>
      </c>
      <c r="F282" s="139">
        <v>1</v>
      </c>
    </row>
    <row r="283" spans="1:6" ht="89.25" x14ac:dyDescent="0.25">
      <c r="A283" s="4" t="s">
        <v>934</v>
      </c>
      <c r="B283" s="82" t="s">
        <v>1313</v>
      </c>
      <c r="C283" s="128" t="s">
        <v>1315</v>
      </c>
      <c r="D283" s="5" t="s">
        <v>230</v>
      </c>
      <c r="E283" s="5" t="s">
        <v>35</v>
      </c>
      <c r="F283" s="139">
        <v>1</v>
      </c>
    </row>
    <row r="284" spans="1:6" hidden="1" x14ac:dyDescent="0.25">
      <c r="A284" s="52" t="s">
        <v>510</v>
      </c>
      <c r="B284" s="57"/>
      <c r="C284" s="126" t="s">
        <v>935</v>
      </c>
      <c r="D284" s="77"/>
      <c r="E284" s="54"/>
      <c r="F284" s="137"/>
    </row>
    <row r="285" spans="1:6" ht="25.5" hidden="1" x14ac:dyDescent="0.25">
      <c r="A285" s="4" t="s">
        <v>511</v>
      </c>
      <c r="B285" s="82" t="s">
        <v>558</v>
      </c>
      <c r="C285" s="124" t="s">
        <v>443</v>
      </c>
      <c r="D285" s="5" t="s">
        <v>230</v>
      </c>
      <c r="E285" s="5" t="s">
        <v>37</v>
      </c>
      <c r="F285" s="139">
        <v>40</v>
      </c>
    </row>
    <row r="286" spans="1:6" ht="25.5" hidden="1" x14ac:dyDescent="0.25">
      <c r="A286" s="4" t="s">
        <v>512</v>
      </c>
      <c r="B286" s="82" t="s">
        <v>558</v>
      </c>
      <c r="C286" s="124" t="s">
        <v>521</v>
      </c>
      <c r="D286" s="5" t="s">
        <v>230</v>
      </c>
      <c r="E286" s="5" t="s">
        <v>37</v>
      </c>
      <c r="F286" s="139">
        <v>10</v>
      </c>
    </row>
    <row r="287" spans="1:6" ht="25.5" hidden="1" x14ac:dyDescent="0.25">
      <c r="A287" s="4" t="s">
        <v>513</v>
      </c>
      <c r="B287" s="82" t="s">
        <v>558</v>
      </c>
      <c r="C287" s="124" t="s">
        <v>444</v>
      </c>
      <c r="D287" s="5" t="s">
        <v>230</v>
      </c>
      <c r="E287" s="5" t="s">
        <v>37</v>
      </c>
      <c r="F287" s="139">
        <v>40</v>
      </c>
    </row>
    <row r="288" spans="1:6" ht="25.5" hidden="1" x14ac:dyDescent="0.25">
      <c r="A288" s="4" t="s">
        <v>514</v>
      </c>
      <c r="B288" s="82" t="s">
        <v>558</v>
      </c>
      <c r="C288" s="124" t="s">
        <v>445</v>
      </c>
      <c r="D288" s="5" t="s">
        <v>230</v>
      </c>
      <c r="E288" s="5" t="s">
        <v>37</v>
      </c>
      <c r="F288" s="139">
        <v>25</v>
      </c>
    </row>
    <row r="289" spans="1:6" ht="25.5" hidden="1" x14ac:dyDescent="0.25">
      <c r="A289" s="4" t="s">
        <v>515</v>
      </c>
      <c r="B289" s="82" t="s">
        <v>559</v>
      </c>
      <c r="C289" s="124" t="s">
        <v>446</v>
      </c>
      <c r="D289" s="5" t="s">
        <v>230</v>
      </c>
      <c r="E289" s="5" t="s">
        <v>37</v>
      </c>
      <c r="F289" s="139">
        <v>5</v>
      </c>
    </row>
    <row r="290" spans="1:6" ht="25.5" hidden="1" x14ac:dyDescent="0.25">
      <c r="A290" s="4" t="s">
        <v>516</v>
      </c>
      <c r="B290" s="82" t="s">
        <v>559</v>
      </c>
      <c r="C290" s="124" t="s">
        <v>447</v>
      </c>
      <c r="D290" s="5" t="s">
        <v>230</v>
      </c>
      <c r="E290" s="5" t="s">
        <v>37</v>
      </c>
      <c r="F290" s="139">
        <v>5</v>
      </c>
    </row>
    <row r="291" spans="1:6" ht="25.5" hidden="1" x14ac:dyDescent="0.25">
      <c r="A291" s="4" t="s">
        <v>517</v>
      </c>
      <c r="B291" s="82" t="s">
        <v>621</v>
      </c>
      <c r="C291" s="124" t="s">
        <v>522</v>
      </c>
      <c r="D291" s="5" t="s">
        <v>230</v>
      </c>
      <c r="E291" s="5" t="s">
        <v>35</v>
      </c>
      <c r="F291" s="139">
        <v>6</v>
      </c>
    </row>
    <row r="292" spans="1:6" ht="25.5" hidden="1" x14ac:dyDescent="0.25">
      <c r="A292" s="4" t="s">
        <v>518</v>
      </c>
      <c r="B292" s="82" t="s">
        <v>621</v>
      </c>
      <c r="C292" s="124" t="s">
        <v>523</v>
      </c>
      <c r="D292" s="5" t="s">
        <v>230</v>
      </c>
      <c r="E292" s="5" t="s">
        <v>35</v>
      </c>
      <c r="F292" s="139">
        <v>1</v>
      </c>
    </row>
    <row r="293" spans="1:6" ht="25.5" hidden="1" x14ac:dyDescent="0.25">
      <c r="A293" s="4" t="s">
        <v>519</v>
      </c>
      <c r="B293" s="82" t="s">
        <v>622</v>
      </c>
      <c r="C293" s="124" t="s">
        <v>524</v>
      </c>
      <c r="D293" s="5" t="s">
        <v>230</v>
      </c>
      <c r="E293" s="5" t="s">
        <v>35</v>
      </c>
      <c r="F293" s="139">
        <v>4</v>
      </c>
    </row>
    <row r="294" spans="1:6" hidden="1" x14ac:dyDescent="0.25">
      <c r="A294" s="4" t="s">
        <v>520</v>
      </c>
      <c r="B294" s="82" t="s">
        <v>603</v>
      </c>
      <c r="C294" s="124" t="s">
        <v>460</v>
      </c>
      <c r="D294" s="5" t="s">
        <v>230</v>
      </c>
      <c r="E294" s="5" t="s">
        <v>35</v>
      </c>
      <c r="F294" s="139">
        <v>4</v>
      </c>
    </row>
    <row r="295" spans="1:6" ht="25.5" hidden="1" customHeight="1" x14ac:dyDescent="0.25">
      <c r="A295" s="4" t="s">
        <v>525</v>
      </c>
      <c r="B295" s="82" t="s">
        <v>603</v>
      </c>
      <c r="C295" s="124" t="s">
        <v>530</v>
      </c>
      <c r="D295" s="5" t="s">
        <v>230</v>
      </c>
      <c r="E295" s="5" t="s">
        <v>35</v>
      </c>
      <c r="F295" s="139">
        <v>1</v>
      </c>
    </row>
    <row r="296" spans="1:6" ht="25.5" hidden="1" x14ac:dyDescent="0.25">
      <c r="A296" s="4" t="s">
        <v>526</v>
      </c>
      <c r="B296" s="82" t="s">
        <v>623</v>
      </c>
      <c r="C296" s="124" t="s">
        <v>531</v>
      </c>
      <c r="D296" s="5" t="s">
        <v>230</v>
      </c>
      <c r="E296" s="5" t="s">
        <v>35</v>
      </c>
      <c r="F296" s="139">
        <v>5</v>
      </c>
    </row>
    <row r="297" spans="1:6" ht="25.5" hidden="1" x14ac:dyDescent="0.25">
      <c r="A297" s="4" t="s">
        <v>527</v>
      </c>
      <c r="B297" s="82" t="s">
        <v>604</v>
      </c>
      <c r="C297" s="124" t="s">
        <v>461</v>
      </c>
      <c r="D297" s="5" t="s">
        <v>230</v>
      </c>
      <c r="E297" s="5" t="s">
        <v>35</v>
      </c>
      <c r="F297" s="139">
        <v>2</v>
      </c>
    </row>
    <row r="298" spans="1:6" hidden="1" x14ac:dyDescent="0.25">
      <c r="A298" s="4" t="s">
        <v>528</v>
      </c>
      <c r="B298" s="82" t="s">
        <v>624</v>
      </c>
      <c r="C298" s="124" t="s">
        <v>532</v>
      </c>
      <c r="D298" s="5" t="s">
        <v>230</v>
      </c>
      <c r="E298" s="5" t="s">
        <v>35</v>
      </c>
      <c r="F298" s="139">
        <v>10</v>
      </c>
    </row>
    <row r="299" spans="1:6" hidden="1" x14ac:dyDescent="0.25">
      <c r="A299" s="4" t="s">
        <v>529</v>
      </c>
      <c r="B299" s="82" t="s">
        <v>625</v>
      </c>
      <c r="C299" s="124" t="s">
        <v>533</v>
      </c>
      <c r="D299" s="5" t="s">
        <v>230</v>
      </c>
      <c r="E299" s="5" t="s">
        <v>35</v>
      </c>
      <c r="F299" s="139">
        <v>1</v>
      </c>
    </row>
    <row r="300" spans="1:6" ht="25.5" hidden="1" x14ac:dyDescent="0.25">
      <c r="A300" s="4" t="s">
        <v>936</v>
      </c>
      <c r="B300" s="82" t="s">
        <v>840</v>
      </c>
      <c r="C300" s="124" t="s">
        <v>839</v>
      </c>
      <c r="D300" s="5" t="s">
        <v>230</v>
      </c>
      <c r="E300" s="5" t="s">
        <v>35</v>
      </c>
      <c r="F300" s="139">
        <v>1</v>
      </c>
    </row>
    <row r="301" spans="1:6" hidden="1" x14ac:dyDescent="0.25">
      <c r="A301" s="66" t="s">
        <v>55</v>
      </c>
      <c r="B301" s="61"/>
      <c r="C301" s="131" t="s">
        <v>427</v>
      </c>
      <c r="D301" s="63"/>
      <c r="E301" s="64"/>
      <c r="F301" s="140"/>
    </row>
    <row r="302" spans="1:6" hidden="1" x14ac:dyDescent="0.25">
      <c r="A302" s="52" t="s">
        <v>56</v>
      </c>
      <c r="B302" s="57"/>
      <c r="C302" s="126" t="s">
        <v>273</v>
      </c>
      <c r="D302" s="77"/>
      <c r="E302" s="54"/>
      <c r="F302" s="137"/>
    </row>
    <row r="303" spans="1:6" hidden="1" x14ac:dyDescent="0.25">
      <c r="A303" s="4" t="s">
        <v>146</v>
      </c>
      <c r="B303" s="82" t="s">
        <v>1072</v>
      </c>
      <c r="C303" s="124" t="s">
        <v>1071</v>
      </c>
      <c r="D303" s="5" t="s">
        <v>763</v>
      </c>
      <c r="E303" s="5" t="s">
        <v>37</v>
      </c>
      <c r="F303" s="139">
        <v>1149</v>
      </c>
    </row>
    <row r="304" spans="1:6" hidden="1" x14ac:dyDescent="0.25">
      <c r="A304" s="4" t="s">
        <v>229</v>
      </c>
      <c r="B304" s="82" t="s">
        <v>1177</v>
      </c>
      <c r="C304" s="124" t="s">
        <v>1178</v>
      </c>
      <c r="D304" s="5" t="s">
        <v>210</v>
      </c>
      <c r="E304" s="48" t="s">
        <v>35</v>
      </c>
      <c r="F304" s="138">
        <v>200</v>
      </c>
    </row>
    <row r="305" spans="1:6" hidden="1" x14ac:dyDescent="0.25">
      <c r="A305" s="4" t="s">
        <v>419</v>
      </c>
      <c r="B305" s="82" t="s">
        <v>1014</v>
      </c>
      <c r="C305" s="124" t="s">
        <v>1020</v>
      </c>
      <c r="D305" s="41" t="s">
        <v>358</v>
      </c>
      <c r="E305" s="5" t="s">
        <v>34</v>
      </c>
      <c r="F305" s="139">
        <v>6</v>
      </c>
    </row>
    <row r="306" spans="1:6" hidden="1" x14ac:dyDescent="0.25">
      <c r="A306" s="4" t="s">
        <v>420</v>
      </c>
      <c r="B306" s="82" t="s">
        <v>1012</v>
      </c>
      <c r="C306" s="124" t="s">
        <v>1021</v>
      </c>
      <c r="D306" s="41" t="s">
        <v>358</v>
      </c>
      <c r="E306" s="5" t="s">
        <v>34</v>
      </c>
      <c r="F306" s="139">
        <v>3</v>
      </c>
    </row>
    <row r="307" spans="1:6" hidden="1" x14ac:dyDescent="0.25">
      <c r="A307" s="4" t="s">
        <v>421</v>
      </c>
      <c r="B307" s="82" t="s">
        <v>1011</v>
      </c>
      <c r="C307" s="124" t="s">
        <v>1022</v>
      </c>
      <c r="D307" s="41" t="s">
        <v>358</v>
      </c>
      <c r="E307" s="5" t="s">
        <v>34</v>
      </c>
      <c r="F307" s="139">
        <v>2</v>
      </c>
    </row>
    <row r="308" spans="1:6" hidden="1" x14ac:dyDescent="0.25">
      <c r="A308" s="4" t="s">
        <v>1185</v>
      </c>
      <c r="B308" s="82" t="s">
        <v>1128</v>
      </c>
      <c r="C308" s="124" t="s">
        <v>1023</v>
      </c>
      <c r="D308" s="41" t="s">
        <v>358</v>
      </c>
      <c r="E308" s="5" t="s">
        <v>34</v>
      </c>
      <c r="F308" s="139">
        <v>2</v>
      </c>
    </row>
    <row r="309" spans="1:6" hidden="1" x14ac:dyDescent="0.25">
      <c r="A309" s="52" t="s">
        <v>57</v>
      </c>
      <c r="B309" s="57"/>
      <c r="C309" s="126" t="s">
        <v>418</v>
      </c>
      <c r="D309" s="77"/>
      <c r="E309" s="54"/>
      <c r="F309" s="137"/>
    </row>
    <row r="310" spans="1:6" hidden="1" x14ac:dyDescent="0.25">
      <c r="A310" s="4" t="s">
        <v>118</v>
      </c>
      <c r="B310" s="82" t="s">
        <v>1072</v>
      </c>
      <c r="C310" s="124" t="s">
        <v>1071</v>
      </c>
      <c r="D310" s="5" t="s">
        <v>763</v>
      </c>
      <c r="E310" s="5" t="s">
        <v>37</v>
      </c>
      <c r="F310" s="139">
        <v>6</v>
      </c>
    </row>
    <row r="311" spans="1:6" hidden="1" x14ac:dyDescent="0.25">
      <c r="A311" s="4" t="s">
        <v>119</v>
      </c>
      <c r="B311" s="82" t="s">
        <v>1177</v>
      </c>
      <c r="C311" s="124" t="s">
        <v>1178</v>
      </c>
      <c r="D311" s="5" t="s">
        <v>210</v>
      </c>
      <c r="E311" s="48" t="s">
        <v>35</v>
      </c>
      <c r="F311" s="138">
        <v>4</v>
      </c>
    </row>
    <row r="312" spans="1:6" hidden="1" x14ac:dyDescent="0.25">
      <c r="A312" s="4" t="s">
        <v>120</v>
      </c>
      <c r="B312" s="82" t="s">
        <v>1203</v>
      </c>
      <c r="C312" s="124" t="s">
        <v>1041</v>
      </c>
      <c r="D312" s="41" t="s">
        <v>358</v>
      </c>
      <c r="E312" s="5" t="s">
        <v>34</v>
      </c>
      <c r="F312" s="139">
        <v>1</v>
      </c>
    </row>
    <row r="313" spans="1:6" hidden="1" x14ac:dyDescent="0.25">
      <c r="A313" s="4" t="s">
        <v>121</v>
      </c>
      <c r="B313" s="82" t="s">
        <v>1210</v>
      </c>
      <c r="C313" s="124" t="s">
        <v>1032</v>
      </c>
      <c r="D313" s="41" t="s">
        <v>358</v>
      </c>
      <c r="E313" s="5" t="s">
        <v>34</v>
      </c>
      <c r="F313" s="139">
        <v>1</v>
      </c>
    </row>
    <row r="314" spans="1:6" ht="25.5" hidden="1" x14ac:dyDescent="0.25">
      <c r="A314" s="4" t="s">
        <v>122</v>
      </c>
      <c r="B314" s="82" t="s">
        <v>1229</v>
      </c>
      <c r="C314" s="124" t="s">
        <v>1230</v>
      </c>
      <c r="D314" s="41" t="s">
        <v>230</v>
      </c>
      <c r="E314" s="5" t="s">
        <v>34</v>
      </c>
      <c r="F314" s="139">
        <v>1</v>
      </c>
    </row>
    <row r="315" spans="1:6" hidden="1" x14ac:dyDescent="0.25">
      <c r="A315" s="4" t="s">
        <v>123</v>
      </c>
      <c r="B315" s="23" t="s">
        <v>1308</v>
      </c>
      <c r="C315" s="124" t="s">
        <v>1261</v>
      </c>
      <c r="D315" s="41" t="s">
        <v>358</v>
      </c>
      <c r="E315" s="5" t="s">
        <v>34</v>
      </c>
      <c r="F315" s="139">
        <v>1</v>
      </c>
    </row>
    <row r="316" spans="1:6" hidden="1" x14ac:dyDescent="0.25">
      <c r="A316" s="4" t="s">
        <v>179</v>
      </c>
      <c r="B316" s="23" t="s">
        <v>1309</v>
      </c>
      <c r="C316" s="124" t="s">
        <v>1148</v>
      </c>
      <c r="D316" s="41" t="s">
        <v>358</v>
      </c>
      <c r="E316" s="5" t="s">
        <v>34</v>
      </c>
      <c r="F316" s="139">
        <v>1</v>
      </c>
    </row>
    <row r="317" spans="1:6" hidden="1" x14ac:dyDescent="0.25">
      <c r="A317" s="4" t="s">
        <v>180</v>
      </c>
      <c r="B317" s="81" t="s">
        <v>1015</v>
      </c>
      <c r="C317" s="124" t="s">
        <v>1019</v>
      </c>
      <c r="D317" s="5" t="s">
        <v>358</v>
      </c>
      <c r="E317" s="5" t="s">
        <v>34</v>
      </c>
      <c r="F317" s="142">
        <v>1</v>
      </c>
    </row>
    <row r="318" spans="1:6" hidden="1" x14ac:dyDescent="0.25">
      <c r="A318" s="4" t="s">
        <v>181</v>
      </c>
      <c r="B318" s="82" t="s">
        <v>1250</v>
      </c>
      <c r="C318" s="124" t="s">
        <v>1199</v>
      </c>
      <c r="D318" s="41" t="s">
        <v>358</v>
      </c>
      <c r="E318" s="5" t="s">
        <v>34</v>
      </c>
      <c r="F318" s="139">
        <v>1</v>
      </c>
    </row>
    <row r="319" spans="1:6" hidden="1" x14ac:dyDescent="0.25">
      <c r="A319" s="4" t="s">
        <v>182</v>
      </c>
      <c r="B319" s="82" t="s">
        <v>576</v>
      </c>
      <c r="C319" s="132" t="s">
        <v>1106</v>
      </c>
      <c r="D319" s="41" t="s">
        <v>422</v>
      </c>
      <c r="E319" s="5" t="s">
        <v>34</v>
      </c>
      <c r="F319" s="139">
        <v>1</v>
      </c>
    </row>
    <row r="320" spans="1:6" hidden="1" x14ac:dyDescent="0.25">
      <c r="A320" s="4" t="s">
        <v>183</v>
      </c>
      <c r="B320" s="82" t="s">
        <v>578</v>
      </c>
      <c r="C320" s="124" t="s">
        <v>577</v>
      </c>
      <c r="D320" s="41" t="s">
        <v>211</v>
      </c>
      <c r="E320" s="5" t="s">
        <v>34</v>
      </c>
      <c r="F320" s="139">
        <v>1</v>
      </c>
    </row>
    <row r="321" spans="1:6" hidden="1" x14ac:dyDescent="0.25">
      <c r="A321" s="4" t="s">
        <v>276</v>
      </c>
      <c r="B321" s="82" t="s">
        <v>1105</v>
      </c>
      <c r="C321" s="124" t="s">
        <v>1190</v>
      </c>
      <c r="D321" s="41" t="s">
        <v>360</v>
      </c>
      <c r="E321" s="5" t="s">
        <v>34</v>
      </c>
      <c r="F321" s="139">
        <v>1</v>
      </c>
    </row>
    <row r="322" spans="1:6" hidden="1" x14ac:dyDescent="0.25">
      <c r="A322" s="4" t="s">
        <v>277</v>
      </c>
      <c r="B322" s="82" t="s">
        <v>1219</v>
      </c>
      <c r="C322" s="124" t="s">
        <v>1220</v>
      </c>
      <c r="D322" s="41" t="s">
        <v>358</v>
      </c>
      <c r="E322" s="5" t="s">
        <v>34</v>
      </c>
      <c r="F322" s="139">
        <v>1</v>
      </c>
    </row>
    <row r="323" spans="1:6" hidden="1" x14ac:dyDescent="0.25">
      <c r="A323" s="4" t="s">
        <v>278</v>
      </c>
      <c r="B323" s="44" t="s">
        <v>984</v>
      </c>
      <c r="C323" s="127" t="s">
        <v>1001</v>
      </c>
      <c r="D323" s="41" t="s">
        <v>210</v>
      </c>
      <c r="E323" s="5" t="s">
        <v>34</v>
      </c>
      <c r="F323" s="139">
        <v>2</v>
      </c>
    </row>
    <row r="324" spans="1:6" hidden="1" x14ac:dyDescent="0.25">
      <c r="A324" s="4" t="s">
        <v>813</v>
      </c>
      <c r="B324" s="45" t="s">
        <v>986</v>
      </c>
      <c r="C324" s="127" t="s">
        <v>583</v>
      </c>
      <c r="D324" s="41" t="s">
        <v>409</v>
      </c>
      <c r="E324" s="5" t="s">
        <v>34</v>
      </c>
      <c r="F324" s="139">
        <v>16</v>
      </c>
    </row>
    <row r="325" spans="1:6" ht="25.5" hidden="1" x14ac:dyDescent="0.25">
      <c r="A325" s="52" t="s">
        <v>58</v>
      </c>
      <c r="B325" s="57"/>
      <c r="C325" s="126" t="s">
        <v>693</v>
      </c>
      <c r="D325" s="77"/>
      <c r="E325" s="54"/>
      <c r="F325" s="137"/>
    </row>
    <row r="326" spans="1:6" hidden="1" x14ac:dyDescent="0.25">
      <c r="A326" s="4" t="s">
        <v>124</v>
      </c>
      <c r="B326" s="82" t="s">
        <v>1255</v>
      </c>
      <c r="C326" s="124" t="s">
        <v>1024</v>
      </c>
      <c r="D326" s="41" t="s">
        <v>358</v>
      </c>
      <c r="E326" s="5" t="s">
        <v>34</v>
      </c>
      <c r="F326" s="139">
        <v>1</v>
      </c>
    </row>
    <row r="327" spans="1:6" hidden="1" x14ac:dyDescent="0.25">
      <c r="A327" s="4" t="s">
        <v>125</v>
      </c>
      <c r="B327" s="82" t="s">
        <v>1223</v>
      </c>
      <c r="C327" s="124" t="s">
        <v>1149</v>
      </c>
      <c r="D327" s="41" t="s">
        <v>358</v>
      </c>
      <c r="E327" s="5" t="s">
        <v>34</v>
      </c>
      <c r="F327" s="139">
        <v>1</v>
      </c>
    </row>
    <row r="328" spans="1:6" hidden="1" x14ac:dyDescent="0.25">
      <c r="A328" s="4" t="s">
        <v>126</v>
      </c>
      <c r="B328" s="23" t="s">
        <v>1309</v>
      </c>
      <c r="C328" s="124" t="s">
        <v>1148</v>
      </c>
      <c r="D328" s="41" t="s">
        <v>358</v>
      </c>
      <c r="E328" s="5" t="s">
        <v>34</v>
      </c>
      <c r="F328" s="139">
        <v>1</v>
      </c>
    </row>
    <row r="329" spans="1:6" hidden="1" x14ac:dyDescent="0.25">
      <c r="A329" s="4" t="s">
        <v>699</v>
      </c>
      <c r="B329" s="82" t="s">
        <v>212</v>
      </c>
      <c r="C329" s="124" t="s">
        <v>575</v>
      </c>
      <c r="D329" s="5" t="s">
        <v>763</v>
      </c>
      <c r="E329" s="5" t="s">
        <v>423</v>
      </c>
      <c r="F329" s="139">
        <v>9</v>
      </c>
    </row>
    <row r="330" spans="1:6" hidden="1" x14ac:dyDescent="0.25">
      <c r="A330" s="4" t="s">
        <v>700</v>
      </c>
      <c r="B330" s="82" t="s">
        <v>1217</v>
      </c>
      <c r="C330" s="124" t="s">
        <v>1218</v>
      </c>
      <c r="D330" s="41" t="s">
        <v>358</v>
      </c>
      <c r="E330" s="5" t="s">
        <v>34</v>
      </c>
      <c r="F330" s="139">
        <v>1</v>
      </c>
    </row>
    <row r="331" spans="1:6" hidden="1" x14ac:dyDescent="0.25">
      <c r="A331" s="4" t="s">
        <v>701</v>
      </c>
      <c r="B331" s="82" t="s">
        <v>1209</v>
      </c>
      <c r="C331" s="124" t="s">
        <v>1033</v>
      </c>
      <c r="D331" s="41" t="s">
        <v>358</v>
      </c>
      <c r="E331" s="5" t="s">
        <v>34</v>
      </c>
      <c r="F331" s="139">
        <v>1</v>
      </c>
    </row>
    <row r="332" spans="1:6" hidden="1" x14ac:dyDescent="0.25">
      <c r="A332" s="4" t="s">
        <v>702</v>
      </c>
      <c r="B332" s="82" t="s">
        <v>1127</v>
      </c>
      <c r="C332" s="124" t="s">
        <v>1016</v>
      </c>
      <c r="D332" s="41" t="s">
        <v>358</v>
      </c>
      <c r="E332" s="5" t="s">
        <v>34</v>
      </c>
      <c r="F332" s="139">
        <v>1</v>
      </c>
    </row>
    <row r="333" spans="1:6" hidden="1" x14ac:dyDescent="0.25">
      <c r="A333" s="4" t="s">
        <v>703</v>
      </c>
      <c r="B333" s="82" t="s">
        <v>1266</v>
      </c>
      <c r="C333" s="124" t="s">
        <v>1078</v>
      </c>
      <c r="D333" s="41" t="s">
        <v>358</v>
      </c>
      <c r="E333" s="5" t="s">
        <v>34</v>
      </c>
      <c r="F333" s="139">
        <v>1</v>
      </c>
    </row>
    <row r="334" spans="1:6" hidden="1" x14ac:dyDescent="0.25">
      <c r="A334" s="4" t="s">
        <v>704</v>
      </c>
      <c r="B334" s="82" t="s">
        <v>557</v>
      </c>
      <c r="C334" s="124" t="s">
        <v>992</v>
      </c>
      <c r="D334" s="41" t="s">
        <v>358</v>
      </c>
      <c r="E334" s="5" t="s">
        <v>34</v>
      </c>
      <c r="F334" s="139">
        <v>2</v>
      </c>
    </row>
    <row r="335" spans="1:6" hidden="1" x14ac:dyDescent="0.25">
      <c r="A335" s="4" t="s">
        <v>705</v>
      </c>
      <c r="B335" s="82" t="s">
        <v>1048</v>
      </c>
      <c r="C335" s="124" t="s">
        <v>1151</v>
      </c>
      <c r="D335" s="41" t="s">
        <v>358</v>
      </c>
      <c r="E335" s="5" t="s">
        <v>34</v>
      </c>
      <c r="F335" s="139">
        <v>1</v>
      </c>
    </row>
    <row r="336" spans="1:6" hidden="1" x14ac:dyDescent="0.25">
      <c r="A336" s="4" t="s">
        <v>706</v>
      </c>
      <c r="B336" s="82" t="s">
        <v>1268</v>
      </c>
      <c r="C336" s="124" t="s">
        <v>1077</v>
      </c>
      <c r="D336" s="41" t="s">
        <v>358</v>
      </c>
      <c r="E336" s="5" t="s">
        <v>34</v>
      </c>
      <c r="F336" s="139">
        <v>1</v>
      </c>
    </row>
    <row r="337" spans="1:6" hidden="1" x14ac:dyDescent="0.25">
      <c r="A337" s="4" t="s">
        <v>707</v>
      </c>
      <c r="B337" s="82" t="s">
        <v>1257</v>
      </c>
      <c r="C337" s="124" t="s">
        <v>424</v>
      </c>
      <c r="D337" s="41" t="s">
        <v>358</v>
      </c>
      <c r="E337" s="5" t="s">
        <v>34</v>
      </c>
      <c r="F337" s="139">
        <v>2</v>
      </c>
    </row>
    <row r="338" spans="1:6" hidden="1" x14ac:dyDescent="0.25">
      <c r="A338" s="4" t="s">
        <v>708</v>
      </c>
      <c r="B338" s="82" t="s">
        <v>1013</v>
      </c>
      <c r="C338" s="124" t="s">
        <v>1017</v>
      </c>
      <c r="D338" s="41" t="s">
        <v>358</v>
      </c>
      <c r="E338" s="5" t="s">
        <v>34</v>
      </c>
      <c r="F338" s="139">
        <v>1</v>
      </c>
    </row>
    <row r="339" spans="1:6" hidden="1" x14ac:dyDescent="0.25">
      <c r="A339" s="4" t="s">
        <v>709</v>
      </c>
      <c r="B339" s="44" t="s">
        <v>983</v>
      </c>
      <c r="C339" s="127" t="s">
        <v>999</v>
      </c>
      <c r="D339" s="41" t="s">
        <v>210</v>
      </c>
      <c r="E339" s="5" t="s">
        <v>34</v>
      </c>
      <c r="F339" s="139">
        <v>12</v>
      </c>
    </row>
    <row r="340" spans="1:6" hidden="1" x14ac:dyDescent="0.25">
      <c r="A340" s="4" t="s">
        <v>710</v>
      </c>
      <c r="B340" s="45" t="s">
        <v>985</v>
      </c>
      <c r="C340" s="127" t="s">
        <v>582</v>
      </c>
      <c r="D340" s="41" t="s">
        <v>409</v>
      </c>
      <c r="E340" s="5" t="s">
        <v>34</v>
      </c>
      <c r="F340" s="139">
        <v>96</v>
      </c>
    </row>
  </sheetData>
  <autoFilter ref="A10:F340">
    <filterColumn colId="1">
      <filters>
        <filter val="Codevasf_27"/>
        <filter val="Codevasf_28"/>
      </filters>
    </filterColumn>
  </autoFilter>
  <mergeCells count="5">
    <mergeCell ref="A1:F1"/>
    <mergeCell ref="A2:F2"/>
    <mergeCell ref="A3:F3"/>
    <mergeCell ref="A5:E5"/>
    <mergeCell ref="A6:E6"/>
  </mergeCells>
  <printOptions horizontalCentered="1"/>
  <pageMargins left="0.59055118110236227" right="0.59055118110236227" top="0.78740157480314965" bottom="0.59055118110236227" header="0.31496062992125984" footer="0.31496062992125984"/>
  <pageSetup paperSize="9" scale="93" orientation="portrait" horizontalDpi="300" verticalDpi="300" r:id="rId1"/>
  <headerFooter>
    <oddFooter>&amp;R&amp;"Arial Narrow,Normal"&amp;8&amp;F
Folha &amp;P de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F21"/>
  <sheetViews>
    <sheetView view="pageBreakPreview" zoomScaleNormal="100" zoomScaleSheetLayoutView="100" workbookViewId="0">
      <pane ySplit="8" topLeftCell="A9" activePane="bottomLeft" state="frozen"/>
      <selection activeCell="C34" sqref="C34"/>
      <selection pane="bottomLeft" activeCell="C20" sqref="C20"/>
    </sheetView>
  </sheetViews>
  <sheetFormatPr defaultRowHeight="12.75" x14ac:dyDescent="0.25"/>
  <cols>
    <col min="1" max="1" width="5.7109375" style="2" customWidth="1"/>
    <col min="2" max="2" width="9.85546875" style="1" customWidth="1"/>
    <col min="3" max="3" width="42" style="2" customWidth="1"/>
    <col min="4" max="4" width="12.5703125" style="1" bestFit="1" customWidth="1"/>
    <col min="5" max="5" width="8.7109375" style="1" customWidth="1"/>
    <col min="6" max="6" width="14.5703125" style="1" bestFit="1" customWidth="1"/>
    <col min="7" max="16384" width="9.140625" style="1"/>
  </cols>
  <sheetData>
    <row r="1" spans="1:6" s="12" customFormat="1" x14ac:dyDescent="0.25">
      <c r="A1" s="153" t="s">
        <v>11</v>
      </c>
      <c r="B1" s="154"/>
      <c r="C1" s="154"/>
      <c r="D1" s="154"/>
      <c r="E1" s="154"/>
      <c r="F1" s="155"/>
    </row>
    <row r="2" spans="1:6" s="12" customFormat="1" x14ac:dyDescent="0.25">
      <c r="A2" s="156" t="s">
        <v>12</v>
      </c>
      <c r="B2" s="157"/>
      <c r="C2" s="157"/>
      <c r="D2" s="157"/>
      <c r="E2" s="157"/>
      <c r="F2" s="158"/>
    </row>
    <row r="3" spans="1:6" s="12" customFormat="1" x14ac:dyDescent="0.25">
      <c r="A3" s="159" t="s">
        <v>13</v>
      </c>
      <c r="B3" s="160"/>
      <c r="C3" s="160"/>
      <c r="D3" s="160"/>
      <c r="E3" s="160"/>
      <c r="F3" s="161"/>
    </row>
    <row r="4" spans="1:6" s="17" customFormat="1" x14ac:dyDescent="0.25">
      <c r="A4" s="133"/>
      <c r="B4" s="16"/>
      <c r="C4" s="16"/>
      <c r="D4" s="16"/>
      <c r="E4" s="16"/>
      <c r="F4" s="134"/>
    </row>
    <row r="5" spans="1:6" s="12" customFormat="1" ht="15" customHeight="1" x14ac:dyDescent="0.25">
      <c r="A5" s="166" t="s">
        <v>957</v>
      </c>
      <c r="B5" s="167"/>
      <c r="C5" s="167"/>
      <c r="D5" s="167"/>
      <c r="E5" s="167"/>
      <c r="F5" s="21" t="s">
        <v>14</v>
      </c>
    </row>
    <row r="6" spans="1:6" s="12" customFormat="1" ht="15" customHeight="1" x14ac:dyDescent="0.25">
      <c r="A6" s="168" t="s">
        <v>627</v>
      </c>
      <c r="B6" s="169"/>
      <c r="C6" s="169"/>
      <c r="D6" s="169"/>
      <c r="E6" s="169"/>
      <c r="F6" s="22" t="s">
        <v>628</v>
      </c>
    </row>
    <row r="7" spans="1:6" s="17" customFormat="1" x14ac:dyDescent="0.25">
      <c r="A7" s="133"/>
      <c r="B7" s="16"/>
      <c r="C7" s="16"/>
      <c r="D7" s="18"/>
      <c r="E7" s="19"/>
      <c r="F7" s="135"/>
    </row>
    <row r="8" spans="1:6" x14ac:dyDescent="0.25">
      <c r="A8" s="26" t="s">
        <v>0</v>
      </c>
      <c r="B8" s="26" t="s">
        <v>15</v>
      </c>
      <c r="C8" s="26" t="s">
        <v>1</v>
      </c>
      <c r="D8" s="26" t="s">
        <v>208</v>
      </c>
      <c r="E8" s="26" t="s">
        <v>16</v>
      </c>
      <c r="F8" s="27" t="s">
        <v>209</v>
      </c>
    </row>
    <row r="9" spans="1:6" s="12" customFormat="1" x14ac:dyDescent="0.25">
      <c r="A9" s="59" t="s">
        <v>18</v>
      </c>
      <c r="B9" s="68"/>
      <c r="C9" s="150" t="s">
        <v>154</v>
      </c>
      <c r="D9" s="69"/>
      <c r="E9" s="60"/>
      <c r="F9" s="136"/>
    </row>
    <row r="10" spans="1:6" x14ac:dyDescent="0.25">
      <c r="A10" s="88" t="s">
        <v>7</v>
      </c>
      <c r="B10" s="84"/>
      <c r="C10" s="87" t="s">
        <v>279</v>
      </c>
      <c r="D10" s="85"/>
      <c r="E10" s="86"/>
      <c r="F10" s="143"/>
    </row>
    <row r="11" spans="1:6" ht="51" x14ac:dyDescent="0.25">
      <c r="A11" s="4" t="s">
        <v>215</v>
      </c>
      <c r="B11" s="82" t="s">
        <v>1244</v>
      </c>
      <c r="C11" s="42" t="s">
        <v>1242</v>
      </c>
      <c r="D11" s="5" t="s">
        <v>230</v>
      </c>
      <c r="E11" s="5" t="s">
        <v>35</v>
      </c>
      <c r="F11" s="139">
        <v>2</v>
      </c>
    </row>
    <row r="12" spans="1:6" x14ac:dyDescent="0.25">
      <c r="A12" s="66" t="s">
        <v>19</v>
      </c>
      <c r="B12" s="61"/>
      <c r="C12" s="62" t="s">
        <v>162</v>
      </c>
      <c r="D12" s="63"/>
      <c r="E12" s="64"/>
      <c r="F12" s="140"/>
    </row>
    <row r="13" spans="1:6" x14ac:dyDescent="0.25">
      <c r="A13" s="88" t="s">
        <v>9</v>
      </c>
      <c r="B13" s="89"/>
      <c r="C13" s="90" t="s">
        <v>279</v>
      </c>
      <c r="D13" s="91"/>
      <c r="E13" s="92"/>
      <c r="F13" s="144"/>
    </row>
    <row r="14" spans="1:6" ht="51" x14ac:dyDescent="0.25">
      <c r="A14" s="4" t="s">
        <v>142</v>
      </c>
      <c r="B14" s="82" t="s">
        <v>1245</v>
      </c>
      <c r="C14" s="43" t="s">
        <v>1243</v>
      </c>
      <c r="D14" s="5" t="s">
        <v>230</v>
      </c>
      <c r="E14" s="5" t="s">
        <v>35</v>
      </c>
      <c r="F14" s="139">
        <v>2</v>
      </c>
    </row>
    <row r="15" spans="1:6" ht="51" x14ac:dyDescent="0.25">
      <c r="A15" s="4" t="s">
        <v>233</v>
      </c>
      <c r="B15" s="82" t="s">
        <v>1244</v>
      </c>
      <c r="C15" s="43" t="s">
        <v>1242</v>
      </c>
      <c r="D15" s="5" t="s">
        <v>230</v>
      </c>
      <c r="E15" s="5" t="s">
        <v>35</v>
      </c>
      <c r="F15" s="139">
        <v>2</v>
      </c>
    </row>
    <row r="16" spans="1:6" x14ac:dyDescent="0.25">
      <c r="A16" s="88" t="s">
        <v>10</v>
      </c>
      <c r="B16" s="93"/>
      <c r="C16" s="87" t="s">
        <v>280</v>
      </c>
      <c r="D16" s="91"/>
      <c r="E16" s="94"/>
      <c r="F16" s="145"/>
    </row>
    <row r="17" spans="1:6" x14ac:dyDescent="0.25">
      <c r="A17" s="4" t="s">
        <v>67</v>
      </c>
      <c r="B17" s="45" t="s">
        <v>1246</v>
      </c>
      <c r="C17" s="43" t="s">
        <v>714</v>
      </c>
      <c r="D17" s="5" t="s">
        <v>230</v>
      </c>
      <c r="E17" s="5" t="s">
        <v>35</v>
      </c>
      <c r="F17" s="139">
        <v>1</v>
      </c>
    </row>
    <row r="18" spans="1:6" x14ac:dyDescent="0.25">
      <c r="A18" s="88" t="s">
        <v>46</v>
      </c>
      <c r="B18" s="93"/>
      <c r="C18" s="87" t="s">
        <v>281</v>
      </c>
      <c r="D18" s="91"/>
      <c r="E18" s="94"/>
      <c r="F18" s="145"/>
    </row>
    <row r="19" spans="1:6" ht="25.5" x14ac:dyDescent="0.25">
      <c r="A19" s="4" t="s">
        <v>69</v>
      </c>
      <c r="B19" s="45" t="s">
        <v>1247</v>
      </c>
      <c r="C19" s="151" t="s">
        <v>1306</v>
      </c>
      <c r="D19" s="5" t="s">
        <v>230</v>
      </c>
      <c r="E19" s="5" t="s">
        <v>35</v>
      </c>
      <c r="F19" s="139">
        <v>1</v>
      </c>
    </row>
    <row r="20" spans="1:6" x14ac:dyDescent="0.25">
      <c r="A20" s="88" t="s">
        <v>73</v>
      </c>
      <c r="B20" s="93"/>
      <c r="C20" s="87" t="s">
        <v>281</v>
      </c>
      <c r="D20" s="91"/>
      <c r="E20" s="94"/>
      <c r="F20" s="145"/>
    </row>
    <row r="21" spans="1:6" ht="114.75" x14ac:dyDescent="0.25">
      <c r="A21" s="146" t="s">
        <v>144</v>
      </c>
      <c r="B21" s="147" t="s">
        <v>1248</v>
      </c>
      <c r="C21" s="152" t="s">
        <v>713</v>
      </c>
      <c r="D21" s="148" t="s">
        <v>230</v>
      </c>
      <c r="E21" s="148" t="s">
        <v>35</v>
      </c>
      <c r="F21" s="149">
        <v>1</v>
      </c>
    </row>
  </sheetData>
  <autoFilter ref="A8:F21"/>
  <mergeCells count="5">
    <mergeCell ref="A1:F1"/>
    <mergeCell ref="A2:F2"/>
    <mergeCell ref="A3:F3"/>
    <mergeCell ref="A5:E5"/>
    <mergeCell ref="A6:E6"/>
  </mergeCells>
  <printOptions horizontalCentered="1"/>
  <pageMargins left="0.59055118110236227" right="0.59055118110236227" top="0.78740157480314965" bottom="0.59055118110236227" header="0.31496062992125984" footer="0.31496062992125984"/>
  <pageSetup paperSize="9" scale="96" orientation="portrait" horizontalDpi="300" verticalDpi="300" r:id="rId1"/>
  <headerFooter>
    <oddFooter>&amp;R&amp;"Arial Narrow,Normal"&amp;8&amp;F
Folha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6</vt:i4>
      </vt:variant>
    </vt:vector>
  </HeadingPairs>
  <TitlesOfParts>
    <vt:vector size="9" baseType="lpstr">
      <vt:lpstr>01_M.Q.S_N.N.L </vt:lpstr>
      <vt:lpstr>02_M.Q.M_N.N.L</vt:lpstr>
      <vt:lpstr>03_M.Q.E_N.N.L</vt:lpstr>
      <vt:lpstr>'01_M.Q.S_N.N.L '!Area_de_impressao</vt:lpstr>
      <vt:lpstr>'02_M.Q.M_N.N.L'!Area_de_impressao</vt:lpstr>
      <vt:lpstr>'03_M.Q.E_N.N.L'!Area_de_impressao</vt:lpstr>
      <vt:lpstr>'01_M.Q.S_N.N.L '!Titulos_de_impressao</vt:lpstr>
      <vt:lpstr>'02_M.Q.M_N.N.L'!Titulos_de_impressao</vt:lpstr>
      <vt:lpstr>'03_M.Q.E_N.N.L'!Titulos_de_impressao</vt:lpstr>
    </vt:vector>
  </TitlesOfParts>
  <Company>Hewlett-Packard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Suele</dc:creator>
  <cp:lastModifiedBy>José Dantas Mendes Neto</cp:lastModifiedBy>
  <cp:lastPrinted>2013-02-27T20:17:28Z</cp:lastPrinted>
  <dcterms:created xsi:type="dcterms:W3CDTF">2011-01-13T17:24:20Z</dcterms:created>
  <dcterms:modified xsi:type="dcterms:W3CDTF">2013-03-26T12:21:00Z</dcterms:modified>
</cp:coreProperties>
</file>