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8190" tabRatio="689"/>
  </bookViews>
  <sheets>
    <sheet name="RESUMO" sheetId="13" r:id="rId1"/>
    <sheet name="PERFURAÇÃO" sheetId="10" r:id="rId2"/>
    <sheet name="INSTALAÇÃO" sheetId="1" r:id="rId3"/>
    <sheet name="CPU POÇOS" sheetId="2" r:id="rId4"/>
    <sheet name="INSUMOS" sheetId="5" r:id="rId5"/>
    <sheet name="Veiculo" sheetId="8" r:id="rId6"/>
    <sheet name="Veículo Fiscalização" sheetId="7" r:id="rId7"/>
    <sheet name="Plan1" sheetId="14" r:id="rId8"/>
    <sheet name="INSUMOS (2)" sheetId="15" r:id="rId9"/>
  </sheets>
  <externalReferences>
    <externalReference r:id="rId10"/>
    <externalReference r:id="rId11"/>
    <externalReference r:id="rId12"/>
  </externalReferences>
  <definedNames>
    <definedName name="_aga14" localSheetId="8">[1]Insumos!#REF!</definedName>
    <definedName name="_aga14" localSheetId="1">[1]Insumos!#REF!</definedName>
    <definedName name="_aga14" localSheetId="0">[1]Insumos!#REF!</definedName>
    <definedName name="_aga14">[1]Insumos!#REF!</definedName>
    <definedName name="_aga16" localSheetId="8">[1]Insumos!#REF!</definedName>
    <definedName name="_aga16" localSheetId="1">[1]Insumos!#REF!</definedName>
    <definedName name="_aga16" localSheetId="0">[1]Insumos!#REF!</definedName>
    <definedName name="_aga16">[1]Insumos!#REF!</definedName>
    <definedName name="_asc321" localSheetId="8">[1]Insumos!#REF!</definedName>
    <definedName name="_asc321" localSheetId="1">[1]Insumos!#REF!</definedName>
    <definedName name="_asc321" localSheetId="0">[1]Insumos!#REF!</definedName>
    <definedName name="_asc321">[1]Insumos!#REF!</definedName>
    <definedName name="_bur3220" localSheetId="8">[1]Insumos!#REF!</definedName>
    <definedName name="_bur3220" localSheetId="1">[1]Insumos!#REF!</definedName>
    <definedName name="_bur3220" localSheetId="0">[1]Insumos!#REF!</definedName>
    <definedName name="_bur3220">[1]Insumos!#REF!</definedName>
    <definedName name="_cap20" localSheetId="8">[1]Insumos!#REF!</definedName>
    <definedName name="_cap20" localSheetId="1">[1]Insumos!#REF!</definedName>
    <definedName name="_cap20" localSheetId="0">[1]Insumos!#REF!</definedName>
    <definedName name="_cap20">[1]Insumos!#REF!</definedName>
    <definedName name="_ccr12" localSheetId="8">[1]Insumos!#REF!</definedName>
    <definedName name="_ccr12" localSheetId="1">[1]Insumos!#REF!</definedName>
    <definedName name="_ccr12" localSheetId="0">[1]Insumos!#REF!</definedName>
    <definedName name="_ccr12">[1]Insumos!#REF!</definedName>
    <definedName name="_cva32" localSheetId="8">[1]Insumos!#REF!</definedName>
    <definedName name="_cva32" localSheetId="1">[1]Insumos!#REF!</definedName>
    <definedName name="_cva32" localSheetId="0">[1]Insumos!#REF!</definedName>
    <definedName name="_cva32">[1]Insumos!#REF!</definedName>
    <definedName name="_cva50" localSheetId="8">[1]Insumos!#REF!</definedName>
    <definedName name="_cva50" localSheetId="1">[1]Insumos!#REF!</definedName>
    <definedName name="_cva50" localSheetId="0">[1]Insumos!#REF!</definedName>
    <definedName name="_cva50">[1]Insumos!#REF!</definedName>
    <definedName name="_cva60" localSheetId="8">[1]Insumos!#REF!</definedName>
    <definedName name="_cva60" localSheetId="1">[1]Insumos!#REF!</definedName>
    <definedName name="_cva60" localSheetId="0">[1]Insumos!#REF!</definedName>
    <definedName name="_cva60">[1]Insumos!#REF!</definedName>
    <definedName name="_cve45100" localSheetId="8">[1]Insumos!#REF!</definedName>
    <definedName name="_cve45100" localSheetId="1">[1]Insumos!#REF!</definedName>
    <definedName name="_cve45100" localSheetId="0">[1]Insumos!#REF!</definedName>
    <definedName name="_cve45100">[1]Insumos!#REF!</definedName>
    <definedName name="_cve90100" localSheetId="8">[1]Insumos!#REF!</definedName>
    <definedName name="_cve90100" localSheetId="1">[1]Insumos!#REF!</definedName>
    <definedName name="_cve90100" localSheetId="0">[1]Insumos!#REF!</definedName>
    <definedName name="_cve90100">[1]Insumos!#REF!</definedName>
    <definedName name="_cve9040" localSheetId="8">[1]Insumos!#REF!</definedName>
    <definedName name="_cve9040" localSheetId="1">[1]Insumos!#REF!</definedName>
    <definedName name="_cve9040" localSheetId="0">[1]Insumos!#REF!</definedName>
    <definedName name="_cve9040">[1]Insumos!#REF!</definedName>
    <definedName name="_djm10" localSheetId="8">[1]Insumos!#REF!</definedName>
    <definedName name="_djm10" localSheetId="1">[1]Insumos!#REF!</definedName>
    <definedName name="_djm10" localSheetId="0">[1]Insumos!#REF!</definedName>
    <definedName name="_djm10">[1]Insumos!#REF!</definedName>
    <definedName name="_djm15" localSheetId="8">[1]Insumos!#REF!</definedName>
    <definedName name="_djm15" localSheetId="1">[1]Insumos!#REF!</definedName>
    <definedName name="_djm15" localSheetId="0">[1]Insumos!#REF!</definedName>
    <definedName name="_djm15">[1]Insumos!#REF!</definedName>
    <definedName name="_epl2" localSheetId="8">[1]Insumos!#REF!</definedName>
    <definedName name="_epl2" localSheetId="1">[1]Insumos!#REF!</definedName>
    <definedName name="_epl2" localSheetId="0">[1]Insumos!#REF!</definedName>
    <definedName name="_epl2">[1]Insumos!#REF!</definedName>
    <definedName name="_epl5" localSheetId="8">[1]Insumos!#REF!</definedName>
    <definedName name="_epl5" localSheetId="1">[1]Insumos!#REF!</definedName>
    <definedName name="_epl5" localSheetId="0">[1]Insumos!#REF!</definedName>
    <definedName name="_epl5">[1]Insumos!#REF!</definedName>
    <definedName name="_est15" localSheetId="8">[1]Insumos!#REF!</definedName>
    <definedName name="_est15" localSheetId="1">[1]Insumos!#REF!</definedName>
    <definedName name="_est15" localSheetId="0">[1]Insumos!#REF!</definedName>
    <definedName name="_est15">[1]Insumos!#REF!</definedName>
    <definedName name="_fil1" localSheetId="8">[1]Insumos!#REF!</definedName>
    <definedName name="_fil1" localSheetId="1">[1]Insumos!#REF!</definedName>
    <definedName name="_fil1" localSheetId="0">[1]Insumos!#REF!</definedName>
    <definedName name="_fil1">[1]Insumos!#REF!</definedName>
    <definedName name="_fil2" localSheetId="8">[1]Insumos!#REF!</definedName>
    <definedName name="_fil2" localSheetId="1">[1]Insumos!#REF!</definedName>
    <definedName name="_fil2" localSheetId="0">[1]Insumos!#REF!</definedName>
    <definedName name="_fil2">[1]Insumos!#REF!</definedName>
    <definedName name="_xlnm._FilterDatabase" localSheetId="4" hidden="1">INSUMOS!$A$10:$G$59</definedName>
    <definedName name="_xlnm._FilterDatabase" localSheetId="8" hidden="1">'INSUMOS (2)'!$A$10:$G$17</definedName>
    <definedName name="_fio12" localSheetId="8">[1]Insumos!#REF!</definedName>
    <definedName name="_fio12" localSheetId="1">[1]Insumos!#REF!</definedName>
    <definedName name="_fio12" localSheetId="0">[1]Insumos!#REF!</definedName>
    <definedName name="_fio12">[1]Insumos!#REF!</definedName>
    <definedName name="_fis5" localSheetId="8">[1]Insumos!#REF!</definedName>
    <definedName name="_fis5" localSheetId="1">[1]Insumos!#REF!</definedName>
    <definedName name="_fis5" localSheetId="0">[1]Insumos!#REF!</definedName>
    <definedName name="_fis5">[1]Insumos!#REF!</definedName>
    <definedName name="_flf50" localSheetId="8">[1]Insumos!#REF!</definedName>
    <definedName name="_flf50" localSheetId="1">[1]Insumos!#REF!</definedName>
    <definedName name="_flf50" localSheetId="0">[1]Insumos!#REF!</definedName>
    <definedName name="_flf50">[1]Insumos!#REF!</definedName>
    <definedName name="_flf60" localSheetId="8">[1]Insumos!#REF!</definedName>
    <definedName name="_flf60" localSheetId="1">[1]Insumos!#REF!</definedName>
    <definedName name="_flf60" localSheetId="0">[1]Insumos!#REF!</definedName>
    <definedName name="_flf60">[1]Insumos!#REF!</definedName>
    <definedName name="_fpd12" localSheetId="8">[1]Insumos!#REF!</definedName>
    <definedName name="_fpd12" localSheetId="1">[1]Insumos!#REF!</definedName>
    <definedName name="_fpd12" localSheetId="0">[1]Insumos!#REF!</definedName>
    <definedName name="_fpd12">[1]Insumos!#REF!</definedName>
    <definedName name="_fvr10" localSheetId="8">[1]Insumos!#REF!</definedName>
    <definedName name="_fvr10" localSheetId="1">[1]Insumos!#REF!</definedName>
    <definedName name="_fvr10" localSheetId="0">[1]Insumos!#REF!</definedName>
    <definedName name="_fvr10">[1]Insumos!#REF!</definedName>
    <definedName name="_itu1" localSheetId="8">[1]Insumos!#REF!</definedName>
    <definedName name="_itu1" localSheetId="1">[1]Insumos!#REF!</definedName>
    <definedName name="_itu1" localSheetId="0">[1]Insumos!#REF!</definedName>
    <definedName name="_itu1">[1]Insumos!#REF!</definedName>
    <definedName name="_jla20" localSheetId="8">[1]Insumos!#REF!</definedName>
    <definedName name="_jla20" localSheetId="1">[1]Insumos!#REF!</definedName>
    <definedName name="_jla20" localSheetId="0">[1]Insumos!#REF!</definedName>
    <definedName name="_jla20">[1]Insumos!#REF!</definedName>
    <definedName name="_jla32" localSheetId="8">[1]Insumos!#REF!</definedName>
    <definedName name="_jla32" localSheetId="1">[1]Insumos!#REF!</definedName>
    <definedName name="_jla32" localSheetId="0">[1]Insumos!#REF!</definedName>
    <definedName name="_jla32">[1]Insumos!#REF!</definedName>
    <definedName name="_lpi100" localSheetId="8">[1]Insumos!#REF!</definedName>
    <definedName name="_lpi100" localSheetId="1">[1]Insumos!#REF!</definedName>
    <definedName name="_lpi100" localSheetId="0">[1]Insumos!#REF!</definedName>
    <definedName name="_lpi100">[1]Insumos!#REF!</definedName>
    <definedName name="_lvg10060" localSheetId="8">[1]Insumos!#REF!</definedName>
    <definedName name="_lvg10060" localSheetId="1">[1]Insumos!#REF!</definedName>
    <definedName name="_lvg10060" localSheetId="0">[1]Insumos!#REF!</definedName>
    <definedName name="_lvg10060">[1]Insumos!#REF!</definedName>
    <definedName name="_lvp32" localSheetId="8">[1]Insumos!#REF!</definedName>
    <definedName name="_lvp32" localSheetId="1">[1]Insumos!#REF!</definedName>
    <definedName name="_lvp32" localSheetId="0">[1]Insumos!#REF!</definedName>
    <definedName name="_lvp32">[1]Insumos!#REF!</definedName>
    <definedName name="_lxa1" localSheetId="8">#REF!</definedName>
    <definedName name="_lxa1" localSheetId="0">#REF!</definedName>
    <definedName name="_lxa1">#REF!</definedName>
    <definedName name="_man50" localSheetId="8">[1]Insumos!#REF!</definedName>
    <definedName name="_man50" localSheetId="1">[1]Insumos!#REF!</definedName>
    <definedName name="_man50" localSheetId="0">[1]Insumos!#REF!</definedName>
    <definedName name="_man50">[1]Insumos!#REF!</definedName>
    <definedName name="_ope1" localSheetId="8">[1]Insumos!#REF!</definedName>
    <definedName name="_ope1" localSheetId="1">[1]Insumos!#REF!</definedName>
    <definedName name="_ope1" localSheetId="0">[1]Insumos!#REF!</definedName>
    <definedName name="_ope1">[1]Insumos!#REF!</definedName>
    <definedName name="_ope2" localSheetId="8">[1]Insumos!#REF!</definedName>
    <definedName name="_ope2" localSheetId="1">[1]Insumos!#REF!</definedName>
    <definedName name="_ope2" localSheetId="0">[1]Insumos!#REF!</definedName>
    <definedName name="_ope2">[1]Insumos!#REF!</definedName>
    <definedName name="_ope3" localSheetId="8">[1]Insumos!#REF!</definedName>
    <definedName name="_ope3" localSheetId="1">[1]Insumos!#REF!</definedName>
    <definedName name="_ope3" localSheetId="0">[1]Insumos!#REF!</definedName>
    <definedName name="_ope3">[1]Insumos!#REF!</definedName>
    <definedName name="_pne1" localSheetId="8">[1]Insumos!#REF!</definedName>
    <definedName name="_pne1" localSheetId="1">[1]Insumos!#REF!</definedName>
    <definedName name="_pne1" localSheetId="0">[1]Insumos!#REF!</definedName>
    <definedName name="_pne1">[1]Insumos!#REF!</definedName>
    <definedName name="_pne2" localSheetId="8">[1]Insumos!#REF!</definedName>
    <definedName name="_pne2" localSheetId="1">[1]Insumos!#REF!</definedName>
    <definedName name="_pne2" localSheetId="0">[1]Insumos!#REF!</definedName>
    <definedName name="_pne2">[1]Insumos!#REF!</definedName>
    <definedName name="_prg1515" localSheetId="8">[1]Insumos!#REF!</definedName>
    <definedName name="_prg1515" localSheetId="1">[1]Insumos!#REF!</definedName>
    <definedName name="_prg1515" localSheetId="0">[1]Insumos!#REF!</definedName>
    <definedName name="_prg1515">[1]Insumos!#REF!</definedName>
    <definedName name="_prg1827" localSheetId="8">[1]Insumos!#REF!</definedName>
    <definedName name="_prg1827" localSheetId="1">[1]Insumos!#REF!</definedName>
    <definedName name="_prg1827" localSheetId="0">[1]Insumos!#REF!</definedName>
    <definedName name="_prg1827">[1]Insumos!#REF!</definedName>
    <definedName name="_ptc7" localSheetId="8">#REF!</definedName>
    <definedName name="_ptc7" localSheetId="0">#REF!</definedName>
    <definedName name="_ptc7">#REF!</definedName>
    <definedName name="_ptm6" localSheetId="8">[1]Insumos!#REF!</definedName>
    <definedName name="_ptm6" localSheetId="1">[1]Insumos!#REF!</definedName>
    <definedName name="_ptm6" localSheetId="0">[1]Insumos!#REF!</definedName>
    <definedName name="_ptm6">[1]Insumos!#REF!</definedName>
    <definedName name="_qdm3" localSheetId="8">[1]Insumos!#REF!</definedName>
    <definedName name="_qdm3" localSheetId="1">[1]Insumos!#REF!</definedName>
    <definedName name="_qdm3" localSheetId="0">[1]Insumos!#REF!</definedName>
    <definedName name="_qdm3">[1]Insumos!#REF!</definedName>
    <definedName name="_rcm10" localSheetId="8">[1]Insumos!#REF!</definedName>
    <definedName name="_rcm10" localSheetId="1">[1]Insumos!#REF!</definedName>
    <definedName name="_rcm10" localSheetId="0">[1]Insumos!#REF!</definedName>
    <definedName name="_rcm10">[1]Insumos!#REF!</definedName>
    <definedName name="_rcm15" localSheetId="8">[1]Insumos!#REF!</definedName>
    <definedName name="_rcm15" localSheetId="1">[1]Insumos!#REF!</definedName>
    <definedName name="_rcm15" localSheetId="0">[1]Insumos!#REF!</definedName>
    <definedName name="_rcm15">[1]Insumos!#REF!</definedName>
    <definedName name="_rcm20" localSheetId="8">[1]Insumos!#REF!</definedName>
    <definedName name="_rcm20" localSheetId="1">[1]Insumos!#REF!</definedName>
    <definedName name="_rcm20" localSheetId="0">[1]Insumos!#REF!</definedName>
    <definedName name="_rcm20">[1]Insumos!#REF!</definedName>
    <definedName name="_rcm5" localSheetId="8">[1]Insumos!#REF!</definedName>
    <definedName name="_rcm5" localSheetId="1">[1]Insumos!#REF!</definedName>
    <definedName name="_rcm5" localSheetId="0">[1]Insumos!#REF!</definedName>
    <definedName name="_rcm5">[1]Insumos!#REF!</definedName>
    <definedName name="_res10" localSheetId="8">[1]Insumos!#REF!</definedName>
    <definedName name="_res10" localSheetId="1">[1]Insumos!#REF!</definedName>
    <definedName name="_res10" localSheetId="0">[1]Insumos!#REF!</definedName>
    <definedName name="_res10">[1]Insumos!#REF!</definedName>
    <definedName name="_res15" localSheetId="8">[1]Insumos!#REF!</definedName>
    <definedName name="_res15" localSheetId="1">[1]Insumos!#REF!</definedName>
    <definedName name="_res15" localSheetId="0">[1]Insumos!#REF!</definedName>
    <definedName name="_res15">[1]Insumos!#REF!</definedName>
    <definedName name="_res5" localSheetId="8">[1]Insumos!#REF!</definedName>
    <definedName name="_res5" localSheetId="1">[1]Insumos!#REF!</definedName>
    <definedName name="_res5" localSheetId="0">[1]Insumos!#REF!</definedName>
    <definedName name="_res5">[1]Insumos!#REF!</definedName>
    <definedName name="_rge32" localSheetId="8">[1]Insumos!#REF!</definedName>
    <definedName name="_rge32" localSheetId="1">[1]Insumos!#REF!</definedName>
    <definedName name="_rge32" localSheetId="0">[1]Insumos!#REF!</definedName>
    <definedName name="_rge32">[1]Insumos!#REF!</definedName>
    <definedName name="_rgf60" localSheetId="8">[1]Insumos!#REF!</definedName>
    <definedName name="_rgf60" localSheetId="1">[1]Insumos!#REF!</definedName>
    <definedName name="_rgf60" localSheetId="0">[1]Insumos!#REF!</definedName>
    <definedName name="_rgf60">[1]Insumos!#REF!</definedName>
    <definedName name="_rgp1" localSheetId="8">[1]Insumos!#REF!</definedName>
    <definedName name="_rgp1" localSheetId="1">[1]Insumos!#REF!</definedName>
    <definedName name="_rgp1" localSheetId="0">[1]Insumos!#REF!</definedName>
    <definedName name="_rgp1">[1]Insumos!#REF!</definedName>
    <definedName name="_tap100" localSheetId="8">[1]Insumos!#REF!</definedName>
    <definedName name="_tap100" localSheetId="1">[1]Insumos!#REF!</definedName>
    <definedName name="_tap100" localSheetId="0">[1]Insumos!#REF!</definedName>
    <definedName name="_tap100">[1]Insumos!#REF!</definedName>
    <definedName name="_tb112" localSheetId="8">[1]Insumos!#REF!</definedName>
    <definedName name="_tb112" localSheetId="1">[1]Insumos!#REF!</definedName>
    <definedName name="_tb112" localSheetId="0">[1]Insumos!#REF!</definedName>
    <definedName name="_tb112">[1]Insumos!#REF!</definedName>
    <definedName name="_tb16" localSheetId="8">[1]Insumos!#REF!</definedName>
    <definedName name="_tb16" localSheetId="1">[1]Insumos!#REF!</definedName>
    <definedName name="_tb16" localSheetId="0">[1]Insumos!#REF!</definedName>
    <definedName name="_tb16">[1]Insumos!#REF!</definedName>
    <definedName name="_tb19" localSheetId="8">[1]Insumos!#REF!</definedName>
    <definedName name="_tb19" localSheetId="1">[1]Insumos!#REF!</definedName>
    <definedName name="_tb19" localSheetId="0">[1]Insumos!#REF!</definedName>
    <definedName name="_tb19">[1]Insumos!#REF!</definedName>
    <definedName name="_tba20" localSheetId="8">[1]Insumos!#REF!</definedName>
    <definedName name="_tba20" localSheetId="1">[1]Insumos!#REF!</definedName>
    <definedName name="_tba20" localSheetId="0">[1]Insumos!#REF!</definedName>
    <definedName name="_tba20">[1]Insumos!#REF!</definedName>
    <definedName name="_tba32" localSheetId="8">[1]Insumos!#REF!</definedName>
    <definedName name="_tba32" localSheetId="1">[1]Insumos!#REF!</definedName>
    <definedName name="_tba32" localSheetId="0">[1]Insumos!#REF!</definedName>
    <definedName name="_tba32">[1]Insumos!#REF!</definedName>
    <definedName name="_tba50" localSheetId="8">[1]Insumos!#REF!</definedName>
    <definedName name="_tba50" localSheetId="1">[1]Insumos!#REF!</definedName>
    <definedName name="_tba50" localSheetId="0">[1]Insumos!#REF!</definedName>
    <definedName name="_tba50">[1]Insumos!#REF!</definedName>
    <definedName name="_tba60" localSheetId="8">[1]Insumos!#REF!</definedName>
    <definedName name="_tba60" localSheetId="1">[1]Insumos!#REF!</definedName>
    <definedName name="_tba60" localSheetId="0">[1]Insumos!#REF!</definedName>
    <definedName name="_tba60">[1]Insumos!#REF!</definedName>
    <definedName name="_tbe100" localSheetId="8">[1]Insumos!#REF!</definedName>
    <definedName name="_tbe100" localSheetId="1">[1]Insumos!#REF!</definedName>
    <definedName name="_tbe100" localSheetId="0">[1]Insumos!#REF!</definedName>
    <definedName name="_tbe100">[1]Insumos!#REF!</definedName>
    <definedName name="_tbe40" localSheetId="8">[1]Insumos!#REF!</definedName>
    <definedName name="_tbe40" localSheetId="1">[1]Insumos!#REF!</definedName>
    <definedName name="_tbe40" localSheetId="0">[1]Insumos!#REF!</definedName>
    <definedName name="_tbe40">[1]Insumos!#REF!</definedName>
    <definedName name="_tbe50" localSheetId="8">[1]Insumos!#REF!</definedName>
    <definedName name="_tbe50" localSheetId="1">[1]Insumos!#REF!</definedName>
    <definedName name="_tbe50" localSheetId="0">[1]Insumos!#REF!</definedName>
    <definedName name="_tbe50">[1]Insumos!#REF!</definedName>
    <definedName name="_tca80" localSheetId="8">[1]Insumos!#REF!</definedName>
    <definedName name="_tca80" localSheetId="1">[1]Insumos!#REF!</definedName>
    <definedName name="_tca80" localSheetId="0">[1]Insumos!#REF!</definedName>
    <definedName name="_tca80">[1]Insumos!#REF!</definedName>
    <definedName name="_tea32" localSheetId="8">[1]Insumos!#REF!</definedName>
    <definedName name="_tea32" localSheetId="1">[1]Insumos!#REF!</definedName>
    <definedName name="_tea32" localSheetId="0">[1]Insumos!#REF!</definedName>
    <definedName name="_tea32">[1]Insumos!#REF!</definedName>
    <definedName name="_tea4560" localSheetId="8">[1]Insumos!#REF!</definedName>
    <definedName name="_tea4560" localSheetId="1">[1]Insumos!#REF!</definedName>
    <definedName name="_tea4560" localSheetId="0">[1]Insumos!#REF!</definedName>
    <definedName name="_tea4560">[1]Insumos!#REF!</definedName>
    <definedName name="_tee100" localSheetId="8">[1]Insumos!#REF!</definedName>
    <definedName name="_tee100" localSheetId="1">[1]Insumos!#REF!</definedName>
    <definedName name="_tee100" localSheetId="0">[1]Insumos!#REF!</definedName>
    <definedName name="_tee100">[1]Insumos!#REF!</definedName>
    <definedName name="_ter10050" localSheetId="8">[1]Insumos!#REF!</definedName>
    <definedName name="_ter10050" localSheetId="1">[1]Insumos!#REF!</definedName>
    <definedName name="_ter10050" localSheetId="0">[1]Insumos!#REF!</definedName>
    <definedName name="_ter10050">[1]Insumos!#REF!</definedName>
    <definedName name="_tfg50" localSheetId="8">[1]Insumos!#REF!</definedName>
    <definedName name="_tfg50" localSheetId="1">[1]Insumos!#REF!</definedName>
    <definedName name="_tfg50" localSheetId="0">[1]Insumos!#REF!</definedName>
    <definedName name="_tfg50">[1]Insumos!#REF!</definedName>
    <definedName name="_tlf6" localSheetId="8">[1]Insumos!#REF!</definedName>
    <definedName name="_tlf6" localSheetId="1">[1]Insumos!#REF!</definedName>
    <definedName name="_tlf6" localSheetId="0">[1]Insumos!#REF!</definedName>
    <definedName name="_tlf6">[1]Insumos!#REF!</definedName>
    <definedName name="_tub10012" localSheetId="8">[1]Insumos!#REF!</definedName>
    <definedName name="_tub10012" localSheetId="1">[1]Insumos!#REF!</definedName>
    <definedName name="_tub10012" localSheetId="0">[1]Insumos!#REF!</definedName>
    <definedName name="_tub10012">[1]Insumos!#REF!</definedName>
    <definedName name="_tub10015" localSheetId="8">[1]Insumos!#REF!</definedName>
    <definedName name="_tub10015" localSheetId="1">[1]Insumos!#REF!</definedName>
    <definedName name="_tub10015" localSheetId="0">[1]Insumos!#REF!</definedName>
    <definedName name="_tub10015">[1]Insumos!#REF!</definedName>
    <definedName name="_tub10020" localSheetId="8">[1]Insumos!#REF!</definedName>
    <definedName name="_tub10020" localSheetId="1">[1]Insumos!#REF!</definedName>
    <definedName name="_tub10020" localSheetId="0">[1]Insumos!#REF!</definedName>
    <definedName name="_tub10020">[1]Insumos!#REF!</definedName>
    <definedName name="_tub15012" localSheetId="8">[1]Insumos!#REF!</definedName>
    <definedName name="_tub15012" localSheetId="1">[1]Insumos!#REF!</definedName>
    <definedName name="_tub15012" localSheetId="0">[1]Insumos!#REF!</definedName>
    <definedName name="_tub15012">[1]Insumos!#REF!</definedName>
    <definedName name="_tub4012" localSheetId="8">[1]Insumos!#REF!</definedName>
    <definedName name="_tub4012" localSheetId="1">[1]Insumos!#REF!</definedName>
    <definedName name="_tub4012" localSheetId="0">[1]Insumos!#REF!</definedName>
    <definedName name="_tub4012">[1]Insumos!#REF!</definedName>
    <definedName name="_tub4015" localSheetId="8">[1]Insumos!#REF!</definedName>
    <definedName name="_tub4015" localSheetId="1">[1]Insumos!#REF!</definedName>
    <definedName name="_tub4015" localSheetId="0">[1]Insumos!#REF!</definedName>
    <definedName name="_tub4015">[1]Insumos!#REF!</definedName>
    <definedName name="_tub4020" localSheetId="8">[1]Insumos!#REF!</definedName>
    <definedName name="_tub4020" localSheetId="1">[1]Insumos!#REF!</definedName>
    <definedName name="_tub4020" localSheetId="0">[1]Insumos!#REF!</definedName>
    <definedName name="_tub4020">[1]Insumos!#REF!</definedName>
    <definedName name="_tub5012" localSheetId="8">[1]Insumos!#REF!</definedName>
    <definedName name="_tub5012" localSheetId="1">[1]Insumos!#REF!</definedName>
    <definedName name="_tub5012" localSheetId="0">[1]Insumos!#REF!</definedName>
    <definedName name="_tub5012">[1]Insumos!#REF!</definedName>
    <definedName name="_tub5015" localSheetId="8">[1]Insumos!#REF!</definedName>
    <definedName name="_tub5015" localSheetId="1">[1]Insumos!#REF!</definedName>
    <definedName name="_tub5015" localSheetId="0">[1]Insumos!#REF!</definedName>
    <definedName name="_tub5015">[1]Insumos!#REF!</definedName>
    <definedName name="_tub5020" localSheetId="8">[1]Insumos!#REF!</definedName>
    <definedName name="_tub5020" localSheetId="1">[1]Insumos!#REF!</definedName>
    <definedName name="_tub5020" localSheetId="0">[1]Insumos!#REF!</definedName>
    <definedName name="_tub5020">[1]Insumos!#REF!</definedName>
    <definedName name="_tub7512" localSheetId="8">[1]Insumos!#REF!</definedName>
    <definedName name="_tub7512" localSheetId="1">[1]Insumos!#REF!</definedName>
    <definedName name="_tub7512" localSheetId="0">[1]Insumos!#REF!</definedName>
    <definedName name="_tub7512">[1]Insumos!#REF!</definedName>
    <definedName name="_tub7515" localSheetId="8">[1]Insumos!#REF!</definedName>
    <definedName name="_tub7515" localSheetId="1">[1]Insumos!#REF!</definedName>
    <definedName name="_tub7515" localSheetId="0">[1]Insumos!#REF!</definedName>
    <definedName name="_tub7515">[1]Insumos!#REF!</definedName>
    <definedName name="_tub7520" localSheetId="8">[1]Insumos!#REF!</definedName>
    <definedName name="_tub7520" localSheetId="1">[1]Insumos!#REF!</definedName>
    <definedName name="_tub7520" localSheetId="0">[1]Insumos!#REF!</definedName>
    <definedName name="_tub7520">[1]Insumos!#REF!</definedName>
    <definedName name="acl" localSheetId="8">[1]Insumos!#REF!</definedName>
    <definedName name="acl" localSheetId="1">[1]Insumos!#REF!</definedName>
    <definedName name="acl" localSheetId="0">[1]Insumos!#REF!</definedName>
    <definedName name="acl">[1]Insumos!#REF!</definedName>
    <definedName name="aço" localSheetId="8">[1]Insumos!#REF!</definedName>
    <definedName name="aço" localSheetId="1">[1]Insumos!#REF!</definedName>
    <definedName name="aço" localSheetId="0">[1]Insumos!#REF!</definedName>
    <definedName name="aço">[1]Insumos!#REF!</definedName>
    <definedName name="ade" localSheetId="8">[1]Insumos!#REF!</definedName>
    <definedName name="ade" localSheetId="1">[1]Insumos!#REF!</definedName>
    <definedName name="ade" localSheetId="0">[1]Insumos!#REF!</definedName>
    <definedName name="ade">[1]Insumos!#REF!</definedName>
    <definedName name="adtimp" localSheetId="8">[1]Insumos!#REF!</definedName>
    <definedName name="adtimp" localSheetId="1">[1]Insumos!#REF!</definedName>
    <definedName name="adtimp" localSheetId="0">[1]Insumos!#REF!</definedName>
    <definedName name="adtimp">[1]Insumos!#REF!</definedName>
    <definedName name="afi" localSheetId="8">[1]Insumos!#REF!</definedName>
    <definedName name="afi" localSheetId="1">[1]Insumos!#REF!</definedName>
    <definedName name="afi" localSheetId="0">[1]Insumos!#REF!</definedName>
    <definedName name="afi">[1]Insumos!#REF!</definedName>
    <definedName name="afp" localSheetId="8">[1]Insumos!#REF!</definedName>
    <definedName name="afp" localSheetId="1">[1]Insumos!#REF!</definedName>
    <definedName name="afp" localSheetId="0">[1]Insumos!#REF!</definedName>
    <definedName name="afp">[1]Insumos!#REF!</definedName>
    <definedName name="agr" localSheetId="8">[1]Insumos!#REF!</definedName>
    <definedName name="agr" localSheetId="1">[1]Insumos!#REF!</definedName>
    <definedName name="agr" localSheetId="0">[1]Insumos!#REF!</definedName>
    <definedName name="agr">[1]Insumos!#REF!</definedName>
    <definedName name="amc" localSheetId="8">[1]Insumos!#REF!</definedName>
    <definedName name="amc" localSheetId="1">[1]Insumos!#REF!</definedName>
    <definedName name="amc" localSheetId="0">[1]Insumos!#REF!</definedName>
    <definedName name="amc">[1]Insumos!#REF!</definedName>
    <definedName name="amd" localSheetId="8">[1]Insumos!#REF!</definedName>
    <definedName name="amd" localSheetId="1">[1]Insumos!#REF!</definedName>
    <definedName name="amd" localSheetId="0">[1]Insumos!#REF!</definedName>
    <definedName name="amd">[1]Insumos!#REF!</definedName>
    <definedName name="ame" localSheetId="8">[1]Insumos!#REF!</definedName>
    <definedName name="ame" localSheetId="1">[1]Insumos!#REF!</definedName>
    <definedName name="ame" localSheetId="0">[1]Insumos!#REF!</definedName>
    <definedName name="ame">[1]Insumos!#REF!</definedName>
    <definedName name="amm" localSheetId="8">[1]Insumos!#REF!</definedName>
    <definedName name="amm" localSheetId="1">[1]Insumos!#REF!</definedName>
    <definedName name="amm" localSheetId="0">[1]Insumos!#REF!</definedName>
    <definedName name="amm">[1]Insumos!#REF!</definedName>
    <definedName name="anb" localSheetId="8">[1]Insumos!#REF!</definedName>
    <definedName name="anb" localSheetId="1">[1]Insumos!#REF!</definedName>
    <definedName name="anb" localSheetId="0">[1]Insumos!#REF!</definedName>
    <definedName name="anb">[1]Insumos!#REF!</definedName>
    <definedName name="apc" localSheetId="8">#REF!</definedName>
    <definedName name="apc" localSheetId="0">#REF!</definedName>
    <definedName name="apc">#REF!</definedName>
    <definedName name="apmfs" localSheetId="8">[1]Insumos!#REF!</definedName>
    <definedName name="apmfs" localSheetId="1">[1]Insumos!#REF!</definedName>
    <definedName name="apmfs" localSheetId="0">[1]Insumos!#REF!</definedName>
    <definedName name="apmfs">[1]Insumos!#REF!</definedName>
    <definedName name="are" localSheetId="8">[1]Insumos!#REF!</definedName>
    <definedName name="are" localSheetId="1">[1]Insumos!#REF!</definedName>
    <definedName name="are" localSheetId="0">[1]Insumos!#REF!</definedName>
    <definedName name="are">[1]Insumos!#REF!</definedName>
    <definedName name="_xlnm.Print_Area" localSheetId="3">'CPU POÇOS'!$B$1:$I$1739</definedName>
    <definedName name="_xlnm.Print_Area" localSheetId="2">INSTALAÇÃO!$B$2:$H$78</definedName>
    <definedName name="_xlnm.Print_Area" localSheetId="4">INSUMOS!$B$2:$F$155</definedName>
    <definedName name="_xlnm.Print_Area" localSheetId="8">'INSUMOS (2)'!$B$2:$F$35</definedName>
    <definedName name="_xlnm.Print_Area" localSheetId="1">PERFURAÇÃO!$B$2:$H$58</definedName>
    <definedName name="_xlnm.Print_Area" localSheetId="0">RESUMO!$B$2:$F$40</definedName>
    <definedName name="_xlnm.Print_Area" localSheetId="5">Veiculo!$A$1:$E$56</definedName>
    <definedName name="_xlnm.Print_Area" localSheetId="6">'Veículo Fiscalização'!$A$1:$D$46</definedName>
    <definedName name="B320I" localSheetId="8">#REF!</definedName>
    <definedName name="B320I" localSheetId="0">#REF!</definedName>
    <definedName name="B320I">#REF!</definedName>
    <definedName name="B320P" localSheetId="8">#REF!</definedName>
    <definedName name="B320P" localSheetId="0">#REF!</definedName>
    <definedName name="B320P">#REF!</definedName>
    <definedName name="B500I" localSheetId="8">#REF!</definedName>
    <definedName name="B500I" localSheetId="0">#REF!</definedName>
    <definedName name="B500I">#REF!</definedName>
    <definedName name="B500P" localSheetId="8">#REF!</definedName>
    <definedName name="B500P" localSheetId="0">#REF!</definedName>
    <definedName name="B500P">#REF!</definedName>
    <definedName name="bcc10.10" localSheetId="8">[1]Insumos!#REF!</definedName>
    <definedName name="bcc10.10" localSheetId="1">[1]Insumos!#REF!</definedName>
    <definedName name="bcc10.10" localSheetId="0">[1]Insumos!#REF!</definedName>
    <definedName name="bcc10.10">[1]Insumos!#REF!</definedName>
    <definedName name="bcc10.20" localSheetId="8">[1]Insumos!#REF!</definedName>
    <definedName name="bcc10.20" localSheetId="1">[1]Insumos!#REF!</definedName>
    <definedName name="bcc10.20" localSheetId="0">[1]Insumos!#REF!</definedName>
    <definedName name="bcc10.20">[1]Insumos!#REF!</definedName>
    <definedName name="bcc4.5" localSheetId="8">[1]Insumos!#REF!</definedName>
    <definedName name="bcc4.5" localSheetId="1">[1]Insumos!#REF!</definedName>
    <definedName name="bcc4.5" localSheetId="0">[1]Insumos!#REF!</definedName>
    <definedName name="bcc4.5">[1]Insumos!#REF!</definedName>
    <definedName name="bcc5.10" localSheetId="8">[1]Insumos!#REF!</definedName>
    <definedName name="bcc5.10" localSheetId="1">[1]Insumos!#REF!</definedName>
    <definedName name="bcc5.10" localSheetId="0">[1]Insumos!#REF!</definedName>
    <definedName name="bcc5.10">[1]Insumos!#REF!</definedName>
    <definedName name="bcc5.15" localSheetId="8">[1]Insumos!#REF!</definedName>
    <definedName name="bcc5.15" localSheetId="1">[1]Insumos!#REF!</definedName>
    <definedName name="bcc5.15" localSheetId="0">[1]Insumos!#REF!</definedName>
    <definedName name="bcc5.15">[1]Insumos!#REF!</definedName>
    <definedName name="bcc5.20" localSheetId="8">[1]Insumos!#REF!</definedName>
    <definedName name="bcc5.20" localSheetId="1">[1]Insumos!#REF!</definedName>
    <definedName name="bcc5.20" localSheetId="0">[1]Insumos!#REF!</definedName>
    <definedName name="bcc5.20">[1]Insumos!#REF!</definedName>
    <definedName name="bcc5.5" localSheetId="8">[1]Insumos!#REF!</definedName>
    <definedName name="bcc5.5" localSheetId="1">[1]Insumos!#REF!</definedName>
    <definedName name="bcc5.5" localSheetId="0">[1]Insumos!#REF!</definedName>
    <definedName name="bcc5.5">[1]Insumos!#REF!</definedName>
    <definedName name="bcc6.10" localSheetId="8">[1]Insumos!#REF!</definedName>
    <definedName name="bcc6.10" localSheetId="1">[1]Insumos!#REF!</definedName>
    <definedName name="bcc6.10" localSheetId="0">[1]Insumos!#REF!</definedName>
    <definedName name="bcc6.10">[1]Insumos!#REF!</definedName>
    <definedName name="bcc6.15" localSheetId="8">[1]Insumos!#REF!</definedName>
    <definedName name="bcc6.15" localSheetId="1">[1]Insumos!#REF!</definedName>
    <definedName name="bcc6.15" localSheetId="0">[1]Insumos!#REF!</definedName>
    <definedName name="bcc6.15">[1]Insumos!#REF!</definedName>
    <definedName name="bcc6.20" localSheetId="8">[1]Insumos!#REF!</definedName>
    <definedName name="bcc6.20" localSheetId="1">[1]Insumos!#REF!</definedName>
    <definedName name="bcc6.20" localSheetId="0">[1]Insumos!#REF!</definedName>
    <definedName name="bcc6.20">[1]Insumos!#REF!</definedName>
    <definedName name="bcc6.5" localSheetId="8">[1]Insumos!#REF!</definedName>
    <definedName name="bcc6.5" localSheetId="1">[1]Insumos!#REF!</definedName>
    <definedName name="bcc6.5" localSheetId="0">[1]Insumos!#REF!</definedName>
    <definedName name="bcc6.5">[1]Insumos!#REF!</definedName>
    <definedName name="bcc8.10" localSheetId="8">[1]Insumos!#REF!</definedName>
    <definedName name="bcc8.10" localSheetId="1">[1]Insumos!#REF!</definedName>
    <definedName name="bcc8.10" localSheetId="0">[1]Insumos!#REF!</definedName>
    <definedName name="bcc8.10">[1]Insumos!#REF!</definedName>
    <definedName name="bcc8.15" localSheetId="8">[1]Insumos!#REF!</definedName>
    <definedName name="bcc8.15" localSheetId="1">[1]Insumos!#REF!</definedName>
    <definedName name="bcc8.15" localSheetId="0">[1]Insumos!#REF!</definedName>
    <definedName name="bcc8.15">[1]Insumos!#REF!</definedName>
    <definedName name="bcc8.20" localSheetId="8">[1]Insumos!#REF!</definedName>
    <definedName name="bcc8.20" localSheetId="1">[1]Insumos!#REF!</definedName>
    <definedName name="bcc8.20" localSheetId="0">[1]Insumos!#REF!</definedName>
    <definedName name="bcc8.20">[1]Insumos!#REF!</definedName>
    <definedName name="bcc8.5" localSheetId="8">[1]Insumos!#REF!</definedName>
    <definedName name="bcc8.5" localSheetId="1">[1]Insumos!#REF!</definedName>
    <definedName name="bcc8.5" localSheetId="0">[1]Insumos!#REF!</definedName>
    <definedName name="bcc8.5">[1]Insumos!#REF!</definedName>
    <definedName name="bcf" localSheetId="8">[1]Insumos!#REF!</definedName>
    <definedName name="bcf" localSheetId="1">[1]Insumos!#REF!</definedName>
    <definedName name="bcf" localSheetId="0">[1]Insumos!#REF!</definedName>
    <definedName name="bcf">[1]Insumos!#REF!</definedName>
    <definedName name="bcp" localSheetId="8">[1]Insumos!#REF!</definedName>
    <definedName name="bcp" localSheetId="1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8">[1]Insumos!#REF!</definedName>
    <definedName name="bomp2" localSheetId="1">[1]Insumos!#REF!</definedName>
    <definedName name="bomp2" localSheetId="0">[1]Insumos!#REF!</definedName>
    <definedName name="bomp2">[1]Insumos!#REF!</definedName>
    <definedName name="BPF" localSheetId="8">#REF!</definedName>
    <definedName name="BPF" localSheetId="0">#REF!</definedName>
    <definedName name="BPF">#REF!</definedName>
    <definedName name="CA15I" localSheetId="8">#REF!</definedName>
    <definedName name="CA15I" localSheetId="0">#REF!</definedName>
    <definedName name="CA15I">#REF!</definedName>
    <definedName name="CA15P" localSheetId="8">#REF!</definedName>
    <definedName name="CA15P" localSheetId="0">#REF!</definedName>
    <definedName name="CA15P">#REF!</definedName>
    <definedName name="CA25I" localSheetId="8">#REF!</definedName>
    <definedName name="CA25I" localSheetId="0">#REF!</definedName>
    <definedName name="CA25I">#REF!</definedName>
    <definedName name="CA25P" localSheetId="8">#REF!</definedName>
    <definedName name="CA25P" localSheetId="0">#REF!</definedName>
    <definedName name="CA25P">#REF!</definedName>
    <definedName name="caba1_0" localSheetId="8">#REF!</definedName>
    <definedName name="caba1_0" localSheetId="0">#REF!</definedName>
    <definedName name="caba1_0">#REF!</definedName>
    <definedName name="caba4" localSheetId="8">#REF!</definedName>
    <definedName name="caba4" localSheetId="0">#REF!</definedName>
    <definedName name="caba4">#REF!</definedName>
    <definedName name="cal" localSheetId="8">[1]Insumos!#REF!</definedName>
    <definedName name="cal" localSheetId="1">[1]Insumos!#REF!</definedName>
    <definedName name="cal" localSheetId="0">[1]Insumos!#REF!</definedName>
    <definedName name="cal">[1]Insumos!#REF!</definedName>
    <definedName name="calpi" localSheetId="8">[1]Insumos!#REF!</definedName>
    <definedName name="calpi" localSheetId="1">[1]Insumos!#REF!</definedName>
    <definedName name="calpi" localSheetId="0">[1]Insumos!#REF!</definedName>
    <definedName name="calpi">[1]Insumos!#REF!</definedName>
    <definedName name="camp" localSheetId="8">[1]Insumos!#REF!</definedName>
    <definedName name="camp" localSheetId="1">[1]Insumos!#REF!</definedName>
    <definedName name="camp" localSheetId="0">[1]Insumos!#REF!</definedName>
    <definedName name="camp">[1]Insumos!#REF!</definedName>
    <definedName name="CB10I" localSheetId="8">#REF!</definedName>
    <definedName name="CB10I" localSheetId="0">#REF!</definedName>
    <definedName name="CB10I">#REF!</definedName>
    <definedName name="CB10P" localSheetId="8">#REF!</definedName>
    <definedName name="CB10P" localSheetId="0">#REF!</definedName>
    <definedName name="CB10P">#REF!</definedName>
    <definedName name="CB4I" localSheetId="8">#REF!</definedName>
    <definedName name="CB4I" localSheetId="0">#REF!</definedName>
    <definedName name="CB4I">#REF!</definedName>
    <definedName name="CB4P" localSheetId="8">#REF!</definedName>
    <definedName name="CB4P" localSheetId="0">#REF!</definedName>
    <definedName name="CB4P">#REF!</definedName>
    <definedName name="CB6.5I" localSheetId="8">#REF!</definedName>
    <definedName name="CB6.5I" localSheetId="0">#REF!</definedName>
    <definedName name="CB6.5I">#REF!</definedName>
    <definedName name="CB6.5P" localSheetId="8">#REF!</definedName>
    <definedName name="CB6.5P" localSheetId="0">#REF!</definedName>
    <definedName name="CB6.5P">#REF!</definedName>
    <definedName name="CB6I" localSheetId="8">#REF!</definedName>
    <definedName name="CB6I" localSheetId="0">#REF!</definedName>
    <definedName name="CB6I">#REF!</definedName>
    <definedName name="CB6P" localSheetId="8">#REF!</definedName>
    <definedName name="CB6P" localSheetId="0">#REF!</definedName>
    <definedName name="CB6P">#REF!</definedName>
    <definedName name="cbas" localSheetId="8">[1]Insumos!#REF!</definedName>
    <definedName name="cbas" localSheetId="1">[1]Insumos!#REF!</definedName>
    <definedName name="cbas" localSheetId="0">[1]Insumos!#REF!</definedName>
    <definedName name="cbas">[1]Insumos!#REF!</definedName>
    <definedName name="ccp" localSheetId="8">[1]Insumos!#REF!</definedName>
    <definedName name="ccp" localSheetId="1">[1]Insumos!#REF!</definedName>
    <definedName name="ccp" localSheetId="0">[1]Insumos!#REF!</definedName>
    <definedName name="ccp">[1]Insumos!#REF!</definedName>
    <definedName name="cds" localSheetId="8">[1]Insumos!#REF!</definedName>
    <definedName name="cds" localSheetId="1">[1]Insumos!#REF!</definedName>
    <definedName name="cds" localSheetId="0">[1]Insumos!#REF!</definedName>
    <definedName name="cds">[1]Insumos!#REF!</definedName>
    <definedName name="cec20x20" localSheetId="8">[1]Insumos!#REF!</definedName>
    <definedName name="cec20x20" localSheetId="1">[1]Insumos!#REF!</definedName>
    <definedName name="cec20x20" localSheetId="0">[1]Insumos!#REF!</definedName>
    <definedName name="cec20x20">[1]Insumos!#REF!</definedName>
    <definedName name="cer1_2" localSheetId="8">[1]Insumos!#REF!</definedName>
    <definedName name="cer1_2" localSheetId="1">[1]Insumos!#REF!</definedName>
    <definedName name="cer1_2" localSheetId="0">[1]Insumos!#REF!</definedName>
    <definedName name="cer1_2">[1]Insumos!#REF!</definedName>
    <definedName name="chaf" localSheetId="8">[1]Insumos!#REF!</definedName>
    <definedName name="chaf" localSheetId="1">[1]Insumos!#REF!</definedName>
    <definedName name="chaf" localSheetId="0">[1]Insumos!#REF!</definedName>
    <definedName name="chaf">[1]Insumos!#REF!</definedName>
    <definedName name="cib" localSheetId="8">[1]Insumos!#REF!</definedName>
    <definedName name="cib" localSheetId="1">[1]Insumos!#REF!</definedName>
    <definedName name="cib" localSheetId="0">[1]Insumos!#REF!</definedName>
    <definedName name="cib">[1]Insumos!#REF!</definedName>
    <definedName name="cim" localSheetId="8">[1]Insumos!#REF!</definedName>
    <definedName name="cim" localSheetId="1">[1]Insumos!#REF!</definedName>
    <definedName name="cim" localSheetId="0">[1]Insumos!#REF!</definedName>
    <definedName name="cim">[1]Insumos!#REF!</definedName>
    <definedName name="cim_5" localSheetId="8">#REF!</definedName>
    <definedName name="cim_5" localSheetId="0">#REF!</definedName>
    <definedName name="cim_5">#REF!</definedName>
    <definedName name="clp" localSheetId="8">[1]Insumos!#REF!</definedName>
    <definedName name="clp" localSheetId="1">[1]Insumos!#REF!</definedName>
    <definedName name="clp" localSheetId="0">[1]Insumos!#REF!</definedName>
    <definedName name="clp">[1]Insumos!#REF!</definedName>
    <definedName name="clr1_2" localSheetId="8">[1]Insumos!#REF!</definedName>
    <definedName name="clr1_2" localSheetId="1">[1]Insumos!#REF!</definedName>
    <definedName name="clr1_2" localSheetId="0">[1]Insumos!#REF!</definedName>
    <definedName name="clr1_2">[1]Insumos!#REF!</definedName>
    <definedName name="CM9I" localSheetId="8">#REF!</definedName>
    <definedName name="CM9I" localSheetId="0">#REF!</definedName>
    <definedName name="CM9I">#REF!</definedName>
    <definedName name="CM9P" localSheetId="8">#REF!</definedName>
    <definedName name="CM9P" localSheetId="0">#REF!</definedName>
    <definedName name="CM9P">#REF!</definedName>
    <definedName name="comp" localSheetId="8">[1]Insumos!#REF!</definedName>
    <definedName name="comp" localSheetId="1">[1]Insumos!#REF!</definedName>
    <definedName name="comp" localSheetId="0">[1]Insumos!#REF!</definedName>
    <definedName name="comp">[1]Insumos!#REF!</definedName>
    <definedName name="CPA" localSheetId="8">#REF!</definedName>
    <definedName name="CPA" localSheetId="0">#REF!</definedName>
    <definedName name="CPA">#REF!</definedName>
    <definedName name="CPAF" localSheetId="8">#REF!</definedName>
    <definedName name="CPAF" localSheetId="0">#REF!</definedName>
    <definedName name="CPAF">#REF!</definedName>
    <definedName name="ctfa4" localSheetId="8">[1]Insumos!#REF!</definedName>
    <definedName name="ctfa4" localSheetId="1">[1]Insumos!#REF!</definedName>
    <definedName name="ctfa4" localSheetId="0">[1]Insumos!#REF!</definedName>
    <definedName name="ctfa4">[1]Insumos!#REF!</definedName>
    <definedName name="ctpvc" localSheetId="8">[1]Insumos!#REF!</definedName>
    <definedName name="ctpvc" localSheetId="1">[1]Insumos!#REF!</definedName>
    <definedName name="ctpvc" localSheetId="0">[1]Insumos!#REF!</definedName>
    <definedName name="ctpvc">[1]Insumos!#REF!</definedName>
    <definedName name="cumeeira" localSheetId="8">[1]Insumos!#REF!</definedName>
    <definedName name="cumeeira" localSheetId="1">[1]Insumos!#REF!</definedName>
    <definedName name="cumeeira" localSheetId="0">[1]Insumos!#REF!</definedName>
    <definedName name="cumeeira">[1]Insumos!#REF!</definedName>
    <definedName name="cumeira" localSheetId="8">[1]Insumos!#REF!</definedName>
    <definedName name="cumeira" localSheetId="1">[1]Insumos!#REF!</definedName>
    <definedName name="cumeira" localSheetId="0">[1]Insumos!#REF!</definedName>
    <definedName name="cumeira">[1]Insumos!#REF!</definedName>
    <definedName name="cxp4x2" localSheetId="8">[1]Insumos!#REF!</definedName>
    <definedName name="cxp4x2" localSheetId="1">[1]Insumos!#REF!</definedName>
    <definedName name="cxp4x2" localSheetId="0">[1]Insumos!#REF!</definedName>
    <definedName name="cxp4x2">[1]Insumos!#REF!</definedName>
    <definedName name="D6I" localSheetId="8">#REF!</definedName>
    <definedName name="D6I" localSheetId="0">#REF!</definedName>
    <definedName name="D6I">#REF!</definedName>
    <definedName name="D6P" localSheetId="8">#REF!</definedName>
    <definedName name="D6P" localSheetId="0">#REF!</definedName>
    <definedName name="D6P">#REF!</definedName>
    <definedName name="D8I" localSheetId="8">#REF!</definedName>
    <definedName name="D8I" localSheetId="0">#REF!</definedName>
    <definedName name="D8I">#REF!</definedName>
    <definedName name="D8P" localSheetId="8">#REF!</definedName>
    <definedName name="D8P" localSheetId="0">#REF!</definedName>
    <definedName name="D8P">#REF!</definedName>
    <definedName name="DAT">NA()</definedName>
    <definedName name="desm" localSheetId="8">[1]Insumos!#REF!</definedName>
    <definedName name="desm" localSheetId="1">[1]Insumos!#REF!</definedName>
    <definedName name="desm" localSheetId="0">[1]Insumos!#REF!</definedName>
    <definedName name="desm">[1]Insumos!#REF!</definedName>
    <definedName name="DIE" localSheetId="8">#REF!</definedName>
    <definedName name="DIE" localSheetId="0">#REF!</definedName>
    <definedName name="DIE">#REF!</definedName>
    <definedName name="DIF" localSheetId="8">#REF!</definedName>
    <definedName name="DIF" localSheetId="0">#REF!</definedName>
    <definedName name="DIF">#REF!</definedName>
    <definedName name="DIF_2" localSheetId="8">#REF!</definedName>
    <definedName name="DIF_2" localSheetId="0">#REF!</definedName>
    <definedName name="DIF_2">#REF!</definedName>
    <definedName name="DKM" localSheetId="8">#REF!</definedName>
    <definedName name="DKM" localSheetId="0">#REF!</definedName>
    <definedName name="DKM">#REF!</definedName>
    <definedName name="E" localSheetId="8">[1]Insumos!#REF!</definedName>
    <definedName name="E" localSheetId="1">[1]Insumos!#REF!</definedName>
    <definedName name="E" localSheetId="0">[1]Insumos!#REF!</definedName>
    <definedName name="E">[1]Insumos!#REF!</definedName>
    <definedName name="ecm" localSheetId="8">[1]Insumos!#REF!</definedName>
    <definedName name="ecm" localSheetId="1">[1]Insumos!#REF!</definedName>
    <definedName name="ecm" localSheetId="0">[1]Insumos!#REF!</definedName>
    <definedName name="ecm">[1]Insumos!#REF!</definedName>
    <definedName name="ele" localSheetId="8">[1]Insumos!#REF!</definedName>
    <definedName name="ele" localSheetId="1">[1]Insumos!#REF!</definedName>
    <definedName name="ele" localSheetId="0">[1]Insumos!#REF!</definedName>
    <definedName name="ele">[1]Insumos!#REF!</definedName>
    <definedName name="elr1_2" localSheetId="8">[1]Insumos!#REF!</definedName>
    <definedName name="elr1_2" localSheetId="1">[1]Insumos!#REF!</definedName>
    <definedName name="elr1_2" localSheetId="0">[1]Insumos!#REF!</definedName>
    <definedName name="elr1_2">[1]Insumos!#REF!</definedName>
    <definedName name="elv50x40" localSheetId="8">[1]Insumos!#REF!</definedName>
    <definedName name="elv50x40" localSheetId="1">[1]Insumos!#REF!</definedName>
    <definedName name="elv50x40" localSheetId="0">[1]Insumos!#REF!</definedName>
    <definedName name="elv50x40">[1]Insumos!#REF!</definedName>
    <definedName name="ENC_5" localSheetId="8">#REF!</definedName>
    <definedName name="ENC_5" localSheetId="0">#REF!</definedName>
    <definedName name="ENC_5">#REF!</definedName>
    <definedName name="ENE" localSheetId="8">#REF!</definedName>
    <definedName name="ENE" localSheetId="0">#REF!</definedName>
    <definedName name="ENE">#REF!</definedName>
    <definedName name="epm2.5" localSheetId="8">[1]Insumos!#REF!</definedName>
    <definedName name="epm2.5" localSheetId="1">[1]Insumos!#REF!</definedName>
    <definedName name="epm2.5" localSheetId="0">[1]Insumos!#REF!</definedName>
    <definedName name="epm2.5">[1]Insumos!#REF!</definedName>
    <definedName name="esm" localSheetId="8">[1]Insumos!#REF!</definedName>
    <definedName name="esm" localSheetId="1">[1]Insumos!#REF!</definedName>
    <definedName name="esm" localSheetId="0">[1]Insumos!#REF!</definedName>
    <definedName name="esm">[1]Insumos!#REF!</definedName>
    <definedName name="est" localSheetId="8">[1]Insumos!#REF!</definedName>
    <definedName name="est" localSheetId="1">[1]Insumos!#REF!</definedName>
    <definedName name="est" localSheetId="0">[1]Insumos!#REF!</definedName>
    <definedName name="est">[1]Insumos!#REF!</definedName>
    <definedName name="est1.5_15" localSheetId="8">[1]Insumos!#REF!</definedName>
    <definedName name="est1.5_15" localSheetId="1">[1]Insumos!#REF!</definedName>
    <definedName name="est1.5_15" localSheetId="0">[1]Insumos!#REF!</definedName>
    <definedName name="est1.5_15">[1]Insumos!#REF!</definedName>
    <definedName name="Excel_BuiltIn_Print_Area_3" localSheetId="8">#REF!</definedName>
    <definedName name="Excel_BuiltIn_Print_Area_3" localSheetId="0">#REF!</definedName>
    <definedName name="Excel_BuiltIn_Print_Area_3">#REF!</definedName>
    <definedName name="Excel_BuiltIn_Print_Area_5" localSheetId="8">[3]CPU!#REF!</definedName>
    <definedName name="Excel_BuiltIn_Print_Area_5" localSheetId="1">[3]CPU!#REF!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8">#REF!</definedName>
    <definedName name="Excel_BuiltIn_Print_Titles_3" localSheetId="0">#REF!</definedName>
    <definedName name="Excel_BuiltIn_Print_Titles_3">#REF!</definedName>
    <definedName name="fcm" localSheetId="8">[1]Insumos!#REF!</definedName>
    <definedName name="fcm" localSheetId="1">[1]Insumos!#REF!</definedName>
    <definedName name="fcm" localSheetId="0">[1]Insumos!#REF!</definedName>
    <definedName name="fcm">[1]Insumos!#REF!</definedName>
    <definedName name="fer" localSheetId="8">[1]Insumos!#REF!</definedName>
    <definedName name="fer" localSheetId="1">[1]Insumos!#REF!</definedName>
    <definedName name="fer" localSheetId="0">[1]Insumos!#REF!</definedName>
    <definedName name="fer">[1]Insumos!#REF!</definedName>
    <definedName name="fossa" localSheetId="8">[1]Insumos!#REF!</definedName>
    <definedName name="fossa" localSheetId="1">[1]Insumos!#REF!</definedName>
    <definedName name="fossa" localSheetId="0">[1]Insumos!#REF!</definedName>
    <definedName name="fossa">[1]Insumos!#REF!</definedName>
    <definedName name="FT" localSheetId="8">#REF!</definedName>
    <definedName name="FT" localSheetId="0">#REF!</definedName>
    <definedName name="FT">#REF!</definedName>
    <definedName name="GAS" localSheetId="8">#REF!</definedName>
    <definedName name="GAS" localSheetId="0">#REF!</definedName>
    <definedName name="GAS">#REF!</definedName>
    <definedName name="gdc" localSheetId="8">[1]Insumos!#REF!</definedName>
    <definedName name="gdc" localSheetId="1">[1]Insumos!#REF!</definedName>
    <definedName name="gdc" localSheetId="0">[1]Insumos!#REF!</definedName>
    <definedName name="gdc">[1]Insumos!#REF!</definedName>
    <definedName name="gfg" localSheetId="8">[1]Insumos!#REF!</definedName>
    <definedName name="gfg" localSheetId="1">[1]Insumos!#REF!</definedName>
    <definedName name="gfg" localSheetId="0">[1]Insumos!#REF!</definedName>
    <definedName name="gfg">[1]Insumos!#REF!</definedName>
    <definedName name="ggm" localSheetId="8">[1]Insumos!#REF!</definedName>
    <definedName name="ggm" localSheetId="1">[1]Insumos!#REF!</definedName>
    <definedName name="ggm" localSheetId="0">[1]Insumos!#REF!</definedName>
    <definedName name="ggm">[1]Insumos!#REF!</definedName>
    <definedName name="graf" localSheetId="8">#REF!</definedName>
    <definedName name="graf" localSheetId="0">#REF!</definedName>
    <definedName name="graf">#REF!</definedName>
    <definedName name="GRI" localSheetId="8">#REF!</definedName>
    <definedName name="GRI" localSheetId="0">#REF!</definedName>
    <definedName name="GRI">#REF!</definedName>
    <definedName name="GRP" localSheetId="8">#REF!</definedName>
    <definedName name="GRP" localSheetId="0">#REF!</definedName>
    <definedName name="GRP">#REF!</definedName>
    <definedName name="grx" localSheetId="8">[1]Insumos!#REF!</definedName>
    <definedName name="grx" localSheetId="1">[1]Insumos!#REF!</definedName>
    <definedName name="grx" localSheetId="0">[1]Insumos!#REF!</definedName>
    <definedName name="grx">[1]Insumos!#REF!</definedName>
    <definedName name="hid1_2" localSheetId="8">[1]Insumos!#REF!</definedName>
    <definedName name="hid1_2" localSheetId="1">[1]Insumos!#REF!</definedName>
    <definedName name="hid1_2" localSheetId="0">[1]Insumos!#REF!</definedName>
    <definedName name="hid1_2">[1]Insumos!#REF!</definedName>
    <definedName name="ipf" localSheetId="8">[1]Insumos!#REF!</definedName>
    <definedName name="ipf" localSheetId="1">[1]Insumos!#REF!</definedName>
    <definedName name="ipf" localSheetId="0">[1]Insumos!#REF!</definedName>
    <definedName name="ipf">[1]Insumos!#REF!</definedName>
    <definedName name="itus1" localSheetId="8">[1]Insumos!#REF!</definedName>
    <definedName name="itus1" localSheetId="1">[1]Insumos!#REF!</definedName>
    <definedName name="itus1" localSheetId="0">[1]Insumos!#REF!</definedName>
    <definedName name="itus1">[1]Insumos!#REF!</definedName>
    <definedName name="jla1_220" localSheetId="8">[1]Insumos!#REF!</definedName>
    <definedName name="jla1_220" localSheetId="1">[1]Insumos!#REF!</definedName>
    <definedName name="jla1_220" localSheetId="0">[1]Insumos!#REF!</definedName>
    <definedName name="jla1_220">[1]Insumos!#REF!</definedName>
    <definedName name="JRS" localSheetId="8">#REF!</definedName>
    <definedName name="JRS" localSheetId="0">#REF!</definedName>
    <definedName name="JRS">#REF!</definedName>
    <definedName name="lm6_3" localSheetId="8">[1]Insumos!#REF!</definedName>
    <definedName name="lm6_3" localSheetId="1">[1]Insumos!#REF!</definedName>
    <definedName name="lm6_3" localSheetId="0">[1]Insumos!#REF!</definedName>
    <definedName name="lm6_3">[1]Insumos!#REF!</definedName>
    <definedName name="lnm" localSheetId="8">[1]Insumos!#REF!</definedName>
    <definedName name="lnm" localSheetId="1">[1]Insumos!#REF!</definedName>
    <definedName name="lnm" localSheetId="0">[1]Insumos!#REF!</definedName>
    <definedName name="lnm">[1]Insumos!#REF!</definedName>
    <definedName name="lpb" localSheetId="8">[1]Insumos!#REF!</definedName>
    <definedName name="lpb" localSheetId="1">[1]Insumos!#REF!</definedName>
    <definedName name="lpb" localSheetId="0">[1]Insumos!#REF!</definedName>
    <definedName name="lpb">[1]Insumos!#REF!</definedName>
    <definedName name="LSO" localSheetId="8">[1]Insumos!#REF!</definedName>
    <definedName name="LSO" localSheetId="1">[1]Insumos!#REF!</definedName>
    <definedName name="LSO" localSheetId="0">[1]Insumos!#REF!</definedName>
    <definedName name="LSO">[1]Insumos!#REF!</definedName>
    <definedName name="lub" localSheetId="8">[1]Insumos!#REF!</definedName>
    <definedName name="lub" localSheetId="1">[1]Insumos!#REF!</definedName>
    <definedName name="lub" localSheetId="0">[1]Insumos!#REF!</definedName>
    <definedName name="lub">[1]Insumos!#REF!</definedName>
    <definedName name="lvg12050_1" localSheetId="8">[1]Insumos!#REF!</definedName>
    <definedName name="lvg12050_1" localSheetId="1">[1]Insumos!#REF!</definedName>
    <definedName name="lvg12050_1" localSheetId="0">[1]Insumos!#REF!</definedName>
    <definedName name="lvg12050_1">[1]Insumos!#REF!</definedName>
    <definedName name="lvp1_2" localSheetId="8">[1]Insumos!#REF!</definedName>
    <definedName name="lvp1_2" localSheetId="1">[1]Insumos!#REF!</definedName>
    <definedName name="lvp1_2" localSheetId="0">[1]Insumos!#REF!</definedName>
    <definedName name="lvp1_2">[1]Insumos!#REF!</definedName>
    <definedName name="lvr" localSheetId="8">[1]Insumos!#REF!</definedName>
    <definedName name="lvr" localSheetId="1">[1]Insumos!#REF!</definedName>
    <definedName name="lvr" localSheetId="0">[1]Insumos!#REF!</definedName>
    <definedName name="lvr">[1]Insumos!#REF!</definedName>
    <definedName name="lxa" localSheetId="8">[1]Insumos!#REF!</definedName>
    <definedName name="lxa" localSheetId="1">[1]Insumos!#REF!</definedName>
    <definedName name="lxa" localSheetId="0">[1]Insumos!#REF!</definedName>
    <definedName name="lxa">[1]Insumos!#REF!</definedName>
    <definedName name="lxaf" localSheetId="8">[1]Insumos!#REF!</definedName>
    <definedName name="lxaf" localSheetId="1">[1]Insumos!#REF!</definedName>
    <definedName name="lxaf" localSheetId="0">[1]Insumos!#REF!</definedName>
    <definedName name="lxaf">[1]Insumos!#REF!</definedName>
    <definedName name="mad" localSheetId="8">[1]Insumos!#REF!</definedName>
    <definedName name="mad" localSheetId="1">[1]Insumos!#REF!</definedName>
    <definedName name="mad" localSheetId="0">[1]Insumos!#REF!</definedName>
    <definedName name="mad">[1]Insumos!#REF!</definedName>
    <definedName name="map" localSheetId="8">[1]Insumos!#REF!</definedName>
    <definedName name="map" localSheetId="1">[1]Insumos!#REF!</definedName>
    <definedName name="map" localSheetId="0">[1]Insumos!#REF!</definedName>
    <definedName name="map">[1]Insumos!#REF!</definedName>
    <definedName name="mdn" localSheetId="8">[1]Insumos!#REF!</definedName>
    <definedName name="mdn" localSheetId="1">[1]Insumos!#REF!</definedName>
    <definedName name="mdn" localSheetId="0">[1]Insumos!#REF!</definedName>
    <definedName name="mdn">[1]Insumos!#REF!</definedName>
    <definedName name="MNI" localSheetId="8">#REF!</definedName>
    <definedName name="MNI" localSheetId="0">#REF!</definedName>
    <definedName name="MNI">#REF!</definedName>
    <definedName name="MNP" localSheetId="8">#REF!</definedName>
    <definedName name="MNP" localSheetId="0">#REF!</definedName>
    <definedName name="MNP">#REF!</definedName>
    <definedName name="mour" localSheetId="8">#REF!</definedName>
    <definedName name="mour" localSheetId="0">#REF!</definedName>
    <definedName name="mour">#REF!</definedName>
    <definedName name="mpm2.5" localSheetId="8">[1]Insumos!#REF!</definedName>
    <definedName name="mpm2.5" localSheetId="1">[1]Insumos!#REF!</definedName>
    <definedName name="mpm2.5" localSheetId="0">[1]Insumos!#REF!</definedName>
    <definedName name="mpm2.5">[1]Insumos!#REF!</definedName>
    <definedName name="msv" localSheetId="8">[1]Insumos!#REF!</definedName>
    <definedName name="msv" localSheetId="1">[1]Insumos!#REF!</definedName>
    <definedName name="msv" localSheetId="0">[1]Insumos!#REF!</definedName>
    <definedName name="msv">[1]Insumos!#REF!</definedName>
    <definedName name="niv" localSheetId="8">[1]Insumos!#REF!</definedName>
    <definedName name="niv" localSheetId="1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8">[1]Insumos!#REF!</definedName>
    <definedName name="odi" localSheetId="1">[1]Insumos!#REF!</definedName>
    <definedName name="odi" localSheetId="0">[1]Insumos!#REF!</definedName>
    <definedName name="odi">[1]Insumos!#REF!</definedName>
    <definedName name="ofc">NA()</definedName>
    <definedName name="ofi" localSheetId="8">[1]Insumos!#REF!</definedName>
    <definedName name="ofi" localSheetId="1">[1]Insumos!#REF!</definedName>
    <definedName name="ofi" localSheetId="0">[1]Insumos!#REF!</definedName>
    <definedName name="ofi">[1]Insumos!#REF!</definedName>
    <definedName name="OGU" localSheetId="8">#REF!</definedName>
    <definedName name="OGU" localSheetId="0">#REF!</definedName>
    <definedName name="OGU">#REF!</definedName>
    <definedName name="oli" localSheetId="8">[1]Insumos!#REF!</definedName>
    <definedName name="oli" localSheetId="1">[1]Insumos!#REF!</definedName>
    <definedName name="oli" localSheetId="0">[1]Insumos!#REF!</definedName>
    <definedName name="oli">[1]Insumos!#REF!</definedName>
    <definedName name="pcf60x210" localSheetId="8">[1]Insumos!#REF!</definedName>
    <definedName name="pcf60x210" localSheetId="1">[1]Insumos!#REF!</definedName>
    <definedName name="pcf60x210" localSheetId="0">[1]Insumos!#REF!</definedName>
    <definedName name="pcf60x210">[1]Insumos!#REF!</definedName>
    <definedName name="pcf80x200" localSheetId="8">[1]Insumos!#REF!</definedName>
    <definedName name="pcf80x200" localSheetId="1">[1]Insumos!#REF!</definedName>
    <definedName name="pcf80x200" localSheetId="0">[1]Insumos!#REF!</definedName>
    <definedName name="pcf80x200">[1]Insumos!#REF!</definedName>
    <definedName name="pcf80x210" localSheetId="8">[1]Insumos!#REF!</definedName>
    <definedName name="pcf80x210" localSheetId="1">[1]Insumos!#REF!</definedName>
    <definedName name="pcf80x210" localSheetId="0">[1]Insumos!#REF!</definedName>
    <definedName name="pcf80x210">[1]Insumos!#REF!</definedName>
    <definedName name="pcfc" localSheetId="8">[1]Insumos!#REF!</definedName>
    <definedName name="pcfc" localSheetId="1">[1]Insumos!#REF!</definedName>
    <definedName name="pcfc" localSheetId="0">[1]Insumos!#REF!</definedName>
    <definedName name="pcfc">[1]Insumos!#REF!</definedName>
    <definedName name="pdm" localSheetId="8">[1]Insumos!#REF!</definedName>
    <definedName name="pdm" localSheetId="1">[1]Insumos!#REF!</definedName>
    <definedName name="pdm" localSheetId="0">[1]Insumos!#REF!</definedName>
    <definedName name="pdm">[1]Insumos!#REF!</definedName>
    <definedName name="pdm_5" localSheetId="8">#REF!</definedName>
    <definedName name="pdm_5" localSheetId="0">#REF!</definedName>
    <definedName name="pdm_5">#REF!</definedName>
    <definedName name="pes" localSheetId="8">[1]Insumos!#REF!</definedName>
    <definedName name="pes" localSheetId="1">[1]Insumos!#REF!</definedName>
    <definedName name="pes" localSheetId="0">[1]Insumos!#REF!</definedName>
    <definedName name="pes">[1]Insumos!#REF!</definedName>
    <definedName name="pig" localSheetId="8">[1]Insumos!#REF!</definedName>
    <definedName name="pig" localSheetId="1">[1]Insumos!#REF!</definedName>
    <definedName name="pig" localSheetId="0">[1]Insumos!#REF!</definedName>
    <definedName name="pig">[1]Insumos!#REF!</definedName>
    <definedName name="PII" localSheetId="8">#REF!</definedName>
    <definedName name="PII" localSheetId="0">#REF!</definedName>
    <definedName name="PII">#REF!</definedName>
    <definedName name="PIP" localSheetId="8">#REF!</definedName>
    <definedName name="PIP" localSheetId="0">#REF!</definedName>
    <definedName name="PIP">#REF!</definedName>
    <definedName name="plc" localSheetId="8">[1]Insumos!#REF!</definedName>
    <definedName name="plc" localSheetId="1">[1]Insumos!#REF!</definedName>
    <definedName name="plc" localSheetId="0">[1]Insumos!#REF!</definedName>
    <definedName name="plc">[1]Insumos!#REF!</definedName>
    <definedName name="plc2.5" localSheetId="8">[1]Insumos!#REF!</definedName>
    <definedName name="plc2.5" localSheetId="1">[1]Insumos!#REF!</definedName>
    <definedName name="plc2.5" localSheetId="0">[1]Insumos!#REF!</definedName>
    <definedName name="plc2.5">[1]Insumos!#REF!</definedName>
    <definedName name="PMS" localSheetId="8">#REF!</definedName>
    <definedName name="PMS" localSheetId="0">#REF!</definedName>
    <definedName name="PMS">#REF!</definedName>
    <definedName name="pont" localSheetId="8">[1]Insumos!#REF!</definedName>
    <definedName name="pont" localSheetId="1">[1]Insumos!#REF!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8">[1]Insumos!#REF!</definedName>
    <definedName name="prf" localSheetId="1">[1]Insumos!#REF!</definedName>
    <definedName name="prf" localSheetId="0">[1]Insumos!#REF!</definedName>
    <definedName name="prf">[1]Insumos!#REF!</definedName>
    <definedName name="prg" localSheetId="8">[1]Insumos!#REF!</definedName>
    <definedName name="prg" localSheetId="1">[1]Insumos!#REF!</definedName>
    <definedName name="prg" localSheetId="0">[1]Insumos!#REF!</definedName>
    <definedName name="prg">[1]Insumos!#REF!</definedName>
    <definedName name="prg_5" localSheetId="8">#REF!</definedName>
    <definedName name="prg_5" localSheetId="0">#REF!</definedName>
    <definedName name="prg_5">#REF!</definedName>
    <definedName name="PROJ" localSheetId="8">#REF!</definedName>
    <definedName name="PROJ" localSheetId="0">#REF!</definedName>
    <definedName name="PROJ">#REF!</definedName>
    <definedName name="prtm" localSheetId="8">[1]Insumos!#REF!</definedName>
    <definedName name="prtm" localSheetId="1">[1]Insumos!#REF!</definedName>
    <definedName name="prtm" localSheetId="0">[1]Insumos!#REF!</definedName>
    <definedName name="prtm">[1]Insumos!#REF!</definedName>
    <definedName name="ptt3x2" localSheetId="8">[1]Insumos!#REF!</definedName>
    <definedName name="ptt3x2" localSheetId="1">[1]Insumos!#REF!</definedName>
    <definedName name="ptt3x2" localSheetId="0">[1]Insumos!#REF!</definedName>
    <definedName name="ptt3x2">[1]Insumos!#REF!</definedName>
    <definedName name="qgm" localSheetId="8">[1]Insumos!#REF!</definedName>
    <definedName name="qgm" localSheetId="1">[1]Insumos!#REF!</definedName>
    <definedName name="qgm" localSheetId="0">[1]Insumos!#REF!</definedName>
    <definedName name="qgm">[1]Insumos!#REF!</definedName>
    <definedName name="rdt13.8" localSheetId="8">[1]Insumos!#REF!</definedName>
    <definedName name="rdt13.8" localSheetId="1">[1]Insumos!#REF!</definedName>
    <definedName name="rdt13.8" localSheetId="0">[1]Insumos!#REF!</definedName>
    <definedName name="rdt13.8">[1]Insumos!#REF!</definedName>
    <definedName name="rec" localSheetId="8">[1]Insumos!#REF!</definedName>
    <definedName name="rec" localSheetId="1">[1]Insumos!#REF!</definedName>
    <definedName name="rec" localSheetId="0">[1]Insumos!#REF!</definedName>
    <definedName name="rec">[1]Insumos!#REF!</definedName>
    <definedName name="RES" localSheetId="8">#REF!</definedName>
    <definedName name="RES" localSheetId="0">#REF!</definedName>
    <definedName name="RES">#REF!</definedName>
    <definedName name="rgG3_4" localSheetId="8">[1]Insumos!#REF!</definedName>
    <definedName name="rgG3_4" localSheetId="1">[1]Insumos!#REF!</definedName>
    <definedName name="rgG3_4" localSheetId="0">[1]Insumos!#REF!</definedName>
    <definedName name="rgG3_4">[1]Insumos!#REF!</definedName>
    <definedName name="rgp1_2" localSheetId="8">[1]Insumos!#REF!</definedName>
    <definedName name="rgp1_2" localSheetId="1">[1]Insumos!#REF!</definedName>
    <definedName name="rgp1_2" localSheetId="0">[1]Insumos!#REF!</definedName>
    <definedName name="rgp1_2">[1]Insumos!#REF!</definedName>
    <definedName name="RLI" localSheetId="8">#REF!</definedName>
    <definedName name="RLI" localSheetId="0">#REF!</definedName>
    <definedName name="RLI">#REF!</definedName>
    <definedName name="RLP" localSheetId="8">#REF!</definedName>
    <definedName name="RLP" localSheetId="0">#REF!</definedName>
    <definedName name="RLP">#REF!</definedName>
    <definedName name="RPI" localSheetId="8">#REF!</definedName>
    <definedName name="RPI" localSheetId="0">#REF!</definedName>
    <definedName name="RPI">#REF!</definedName>
    <definedName name="RPP" localSheetId="8">#REF!</definedName>
    <definedName name="RPP" localSheetId="0">#REF!</definedName>
    <definedName name="RPP">#REF!</definedName>
    <definedName name="seat15" localSheetId="8">[1]Insumos!#REF!</definedName>
    <definedName name="seat15" localSheetId="1">[1]Insumos!#REF!</definedName>
    <definedName name="seat15" localSheetId="0">[1]Insumos!#REF!</definedName>
    <definedName name="seat15">[1]Insumos!#REF!</definedName>
    <definedName name="sin" localSheetId="8">[1]Insumos!#REF!</definedName>
    <definedName name="sin" localSheetId="1">[1]Insumos!#REF!</definedName>
    <definedName name="sin" localSheetId="0">[1]Insumos!#REF!</definedName>
    <definedName name="sin">[1]Insumos!#REF!</definedName>
    <definedName name="sollimp" localSheetId="8">[1]Insumos!#REF!</definedName>
    <definedName name="sollimp" localSheetId="1">[1]Insumos!#REF!</definedName>
    <definedName name="sollimp" localSheetId="0">[1]Insumos!#REF!</definedName>
    <definedName name="sollimp">[1]Insumos!#REF!</definedName>
    <definedName name="srv" localSheetId="8">[1]Insumos!#REF!</definedName>
    <definedName name="srv" localSheetId="1">[1]Insumos!#REF!</definedName>
    <definedName name="srv" localSheetId="0">[1]Insumos!#REF!</definedName>
    <definedName name="srv">[1]Insumos!#REF!</definedName>
    <definedName name="sum" localSheetId="8">[1]Insumos!#REF!</definedName>
    <definedName name="sum" localSheetId="1">[1]Insumos!#REF!</definedName>
    <definedName name="sum" localSheetId="0">[1]Insumos!#REF!</definedName>
    <definedName name="sum">[1]Insumos!#REF!</definedName>
    <definedName name="svt" localSheetId="8">[1]Insumos!#REF!</definedName>
    <definedName name="svt" localSheetId="1">[1]Insumos!#REF!</definedName>
    <definedName name="svt" localSheetId="0">[1]Insumos!#REF!</definedName>
    <definedName name="svt">[1]Insumos!#REF!</definedName>
    <definedName name="sxo" localSheetId="8">[1]Insumos!#REF!</definedName>
    <definedName name="sxo" localSheetId="1">[1]Insumos!#REF!</definedName>
    <definedName name="sxo" localSheetId="0">[1]Insumos!#REF!</definedName>
    <definedName name="sxo">[1]Insumos!#REF!</definedName>
    <definedName name="tbv" localSheetId="8">[1]Insumos!#REF!</definedName>
    <definedName name="tbv" localSheetId="1">[1]Insumos!#REF!</definedName>
    <definedName name="tbv" localSheetId="0">[1]Insumos!#REF!</definedName>
    <definedName name="tbv">[1]Insumos!#REF!</definedName>
    <definedName name="tbv_5" localSheetId="8">#REF!</definedName>
    <definedName name="tbv_5" localSheetId="0">#REF!</definedName>
    <definedName name="tbv_5">#REF!</definedName>
    <definedName name="ted" localSheetId="8">[1]Insumos!#REF!</definedName>
    <definedName name="ted" localSheetId="1">[1]Insumos!#REF!</definedName>
    <definedName name="ted" localSheetId="0">[1]Insumos!#REF!</definedName>
    <definedName name="ted">[1]Insumos!#REF!</definedName>
    <definedName name="ter" localSheetId="8">[1]Insumos!#REF!</definedName>
    <definedName name="ter" localSheetId="1">[1]Insumos!#REF!</definedName>
    <definedName name="ter" localSheetId="0">[1]Insumos!#REF!</definedName>
    <definedName name="ter">[1]Insumos!#REF!</definedName>
    <definedName name="tes" localSheetId="8">[1]Insumos!#REF!</definedName>
    <definedName name="tes" localSheetId="1">[1]Insumos!#REF!</definedName>
    <definedName name="tes" localSheetId="0">[1]Insumos!#REF!</definedName>
    <definedName name="tes">[1]Insumos!#REF!</definedName>
    <definedName name="tic">NA()</definedName>
    <definedName name="TID" localSheetId="8">#REF!</definedName>
    <definedName name="TID" localSheetId="0">#REF!</definedName>
    <definedName name="TID">#REF!</definedName>
    <definedName name="TID_2" localSheetId="8">#REF!</definedName>
    <definedName name="TID_2" localSheetId="0">#REF!</definedName>
    <definedName name="TID_2">#REF!</definedName>
    <definedName name="_xlnm.Print_Titles" localSheetId="2">(INSTALAÇÃO!$B:$H,INSTALAÇÃO!$2:$15)</definedName>
    <definedName name="_xlnm.Print_Titles" localSheetId="1">(PERFURAÇÃO!$B:$H,PERFURAÇÃO!$2:$15)</definedName>
    <definedName name="_xlnm.Print_Titles" localSheetId="0">(RESUMO!$B:$F,RESUMO!$2:$23)</definedName>
    <definedName name="tjc" localSheetId="8">[1]Insumos!#REF!</definedName>
    <definedName name="tjc" localSheetId="1">[1]Insumos!#REF!</definedName>
    <definedName name="tjc" localSheetId="0">[1]Insumos!#REF!</definedName>
    <definedName name="tjc">[1]Insumos!#REF!</definedName>
    <definedName name="tjf" localSheetId="8">[1]Insumos!#REF!</definedName>
    <definedName name="tjf" localSheetId="1">[1]Insumos!#REF!</definedName>
    <definedName name="tjf" localSheetId="0">[1]Insumos!#REF!</definedName>
    <definedName name="tjf">[1]Insumos!#REF!</definedName>
    <definedName name="tlc" localSheetId="8">[1]Insumos!#REF!</definedName>
    <definedName name="tlc" localSheetId="1">[1]Insumos!#REF!</definedName>
    <definedName name="tlc" localSheetId="0">[1]Insumos!#REF!</definedName>
    <definedName name="tlc">[1]Insumos!#REF!</definedName>
    <definedName name="tlf" localSheetId="8">[1]Insumos!#REF!</definedName>
    <definedName name="tlf" localSheetId="1">[1]Insumos!#REF!</definedName>
    <definedName name="tlf" localSheetId="0">[1]Insumos!#REF!</definedName>
    <definedName name="tlf">[1]Insumos!#REF!</definedName>
    <definedName name="tnp1_2" localSheetId="8">[1]Insumos!#REF!</definedName>
    <definedName name="tnp1_2" localSheetId="1">[1]Insumos!#REF!</definedName>
    <definedName name="tnp1_2" localSheetId="0">[1]Insumos!#REF!</definedName>
    <definedName name="tnp1_2">[1]Insumos!#REF!</definedName>
    <definedName name="tof" localSheetId="8">[1]Insumos!#REF!</definedName>
    <definedName name="tof" localSheetId="1">[1]Insumos!#REF!</definedName>
    <definedName name="tof" localSheetId="0">[1]Insumos!#REF!</definedName>
    <definedName name="tof">[1]Insumos!#REF!</definedName>
    <definedName name="TOT" localSheetId="8">#REF!</definedName>
    <definedName name="TOT" localSheetId="0">#REF!</definedName>
    <definedName name="TOT">#REF!</definedName>
    <definedName name="TOT_2" localSheetId="8">#REF!</definedName>
    <definedName name="TOT_2" localSheetId="0">#REF!</definedName>
    <definedName name="TOT_2">#REF!</definedName>
    <definedName name="tp6_12" localSheetId="8">[1]Insumos!#REF!</definedName>
    <definedName name="tp6_12" localSheetId="1">[1]Insumos!#REF!</definedName>
    <definedName name="tp6_12" localSheetId="0">[1]Insumos!#REF!</definedName>
    <definedName name="tp6_12">[1]Insumos!#REF!</definedName>
    <definedName name="tp6_16" localSheetId="8">[1]Insumos!#REF!</definedName>
    <definedName name="tp6_16" localSheetId="1">[1]Insumos!#REF!</definedName>
    <definedName name="tp6_16" localSheetId="0">[1]Insumos!#REF!</definedName>
    <definedName name="tp6_16">[1]Insumos!#REF!</definedName>
    <definedName name="TPI" localSheetId="8">#REF!</definedName>
    <definedName name="TPI" localSheetId="0">#REF!</definedName>
    <definedName name="TPI">#REF!</definedName>
    <definedName name="tpl1_2" localSheetId="8">[1]Insumos!#REF!</definedName>
    <definedName name="tpl1_2" localSheetId="1">[1]Insumos!#REF!</definedName>
    <definedName name="tpl1_2" localSheetId="0">[1]Insumos!#REF!</definedName>
    <definedName name="tpl1_2">[1]Insumos!#REF!</definedName>
    <definedName name="tpmfs" localSheetId="8">[1]Insumos!#REF!</definedName>
    <definedName name="tpmfs" localSheetId="1">[1]Insumos!#REF!</definedName>
    <definedName name="tpmfs" localSheetId="0">[1]Insumos!#REF!</definedName>
    <definedName name="tpmfs">[1]Insumos!#REF!</definedName>
    <definedName name="TPP" localSheetId="8">#REF!</definedName>
    <definedName name="TPP" localSheetId="0">#REF!</definedName>
    <definedName name="TPP">#REF!</definedName>
    <definedName name="trb" localSheetId="8">[1]Insumos!#REF!</definedName>
    <definedName name="trb" localSheetId="1">[1]Insumos!#REF!</definedName>
    <definedName name="trb" localSheetId="0">[1]Insumos!#REF!</definedName>
    <definedName name="trb">[1]Insumos!#REF!</definedName>
    <definedName name="tre" localSheetId="8">[1]Insumos!#REF!</definedName>
    <definedName name="tre" localSheetId="1">[1]Insumos!#REF!</definedName>
    <definedName name="tre" localSheetId="0">[1]Insumos!#REF!</definedName>
    <definedName name="tre">[1]Insumos!#REF!</definedName>
    <definedName name="ttc" localSheetId="8">[1]Insumos!#REF!</definedName>
    <definedName name="ttc" localSheetId="1">[1]Insumos!#REF!</definedName>
    <definedName name="ttc" localSheetId="0">[1]Insumos!#REF!</definedName>
    <definedName name="ttc">[1]Insumos!#REF!</definedName>
    <definedName name="tte" localSheetId="8">[1]Insumos!#REF!</definedName>
    <definedName name="tte" localSheetId="1">[1]Insumos!#REF!</definedName>
    <definedName name="tte" localSheetId="0">[1]Insumos!#REF!</definedName>
    <definedName name="tte">[1]Insumos!#REF!</definedName>
    <definedName name="tus" localSheetId="8">[1]Insumos!#REF!</definedName>
    <definedName name="tus" localSheetId="1">[1]Insumos!#REF!</definedName>
    <definedName name="tus" localSheetId="0">[1]Insumos!#REF!</definedName>
    <definedName name="tus">[1]Insumos!#REF!</definedName>
    <definedName name="tuso" localSheetId="8">[1]Insumos!#REF!</definedName>
    <definedName name="tuso" localSheetId="1">[1]Insumos!#REF!</definedName>
    <definedName name="tuso" localSheetId="0">[1]Insumos!#REF!</definedName>
    <definedName name="tuso">[1]Insumos!#REF!</definedName>
    <definedName name="USS" localSheetId="8">#REF!</definedName>
    <definedName name="USS" localSheetId="0">#REF!</definedName>
    <definedName name="USS">#REF!</definedName>
    <definedName name="v60120_" localSheetId="8">[1]Insumos!#REF!</definedName>
    <definedName name="v60120_" localSheetId="1">[1]Insumos!#REF!</definedName>
    <definedName name="v60120_" localSheetId="0">[1]Insumos!#REF!</definedName>
    <definedName name="v60120_">[1]Insumos!#REF!</definedName>
    <definedName name="VII" localSheetId="8">#REF!</definedName>
    <definedName name="VII" localSheetId="0">#REF!</definedName>
    <definedName name="VII">#REF!</definedName>
    <definedName name="VIP" localSheetId="8">#REF!</definedName>
    <definedName name="VIP" localSheetId="0">#REF!</definedName>
    <definedName name="VIP">#REF!</definedName>
    <definedName name="VLR" localSheetId="8">#REF!</definedName>
    <definedName name="VLR" localSheetId="0">#REF!</definedName>
    <definedName name="VLR">#REF!</definedName>
    <definedName name="vsb" localSheetId="8">[1]Insumos!#REF!</definedName>
    <definedName name="vsb" localSheetId="1">[1]Insumos!#REF!</definedName>
    <definedName name="vsb" localSheetId="0">[1]Insumos!#REF!</definedName>
    <definedName name="vsb">[1]Insumos!#REF!</definedName>
    <definedName name="zar" localSheetId="8">[1]Insumos!#REF!</definedName>
    <definedName name="zar" localSheetId="1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G139" i="2" l="1"/>
  <c r="F27" i="10"/>
  <c r="E25" i="5"/>
  <c r="E57" i="5"/>
  <c r="E62" i="5"/>
  <c r="E54" i="5"/>
  <c r="E101" i="5"/>
  <c r="E96" i="5"/>
  <c r="E21" i="15"/>
  <c r="E26" i="5"/>
  <c r="E30" i="5"/>
  <c r="E28" i="5"/>
  <c r="E27" i="5"/>
  <c r="E23" i="5"/>
  <c r="E22" i="5"/>
  <c r="E17" i="5"/>
  <c r="E13" i="5"/>
  <c r="E12" i="5"/>
  <c r="E11" i="5"/>
  <c r="H31" i="15"/>
  <c r="H27" i="15"/>
  <c r="E22" i="15"/>
  <c r="E17" i="15"/>
  <c r="E29" i="5"/>
  <c r="E24" i="5"/>
  <c r="E21" i="5"/>
  <c r="E20" i="5"/>
  <c r="E18" i="5"/>
  <c r="E16" i="5"/>
  <c r="E15" i="5"/>
  <c r="E14" i="5"/>
  <c r="E19" i="5"/>
  <c r="G12" i="1"/>
  <c r="F49" i="1"/>
  <c r="F24" i="1"/>
  <c r="F36" i="1" s="1"/>
  <c r="F37" i="1" s="1"/>
  <c r="F38" i="1" s="1"/>
  <c r="F42" i="1"/>
  <c r="F43" i="1"/>
  <c r="F44" i="1" s="1"/>
  <c r="F45" i="1" s="1"/>
  <c r="F46" i="1" s="1"/>
  <c r="F19" i="1"/>
  <c r="F19" i="10"/>
  <c r="F37" i="10"/>
  <c r="F24" i="10"/>
  <c r="C1519" i="2"/>
  <c r="F40" i="1"/>
  <c r="D1317" i="2"/>
  <c r="D154" i="2"/>
  <c r="D153" i="2"/>
  <c r="D121" i="2"/>
  <c r="D120" i="2"/>
  <c r="H144" i="2"/>
  <c r="I144" i="2"/>
  <c r="H145" i="2"/>
  <c r="I145" i="2"/>
  <c r="H143" i="2"/>
  <c r="I143" i="2"/>
  <c r="C134" i="2"/>
  <c r="I149" i="2"/>
  <c r="I150" i="2" s="1"/>
  <c r="I139" i="2"/>
  <c r="I140" i="2" s="1"/>
  <c r="F60" i="1"/>
  <c r="C1549" i="2"/>
  <c r="H1138" i="2"/>
  <c r="I1138" i="2"/>
  <c r="H1137" i="2"/>
  <c r="I1137" i="2"/>
  <c r="H1311" i="2"/>
  <c r="H1563" i="2"/>
  <c r="I1563" i="2" s="1"/>
  <c r="D1493" i="2"/>
  <c r="H1004" i="2"/>
  <c r="I1004" i="2" s="1"/>
  <c r="H1139" i="2"/>
  <c r="I1139" i="2" s="1"/>
  <c r="F48" i="1"/>
  <c r="F55" i="1"/>
  <c r="F51" i="1"/>
  <c r="F57" i="1"/>
  <c r="F59" i="1"/>
  <c r="F50" i="1"/>
  <c r="F56" i="1"/>
  <c r="F58" i="1"/>
  <c r="C1709" i="2"/>
  <c r="C1676" i="2"/>
  <c r="C1628" i="2"/>
  <c r="C1587" i="2"/>
  <c r="C1444" i="2"/>
  <c r="C1334" i="2"/>
  <c r="C1199" i="2"/>
  <c r="F73" i="1"/>
  <c r="F23" i="1"/>
  <c r="C1030" i="2"/>
  <c r="C624" i="2"/>
  <c r="C594" i="2"/>
  <c r="F36" i="10"/>
  <c r="C531" i="2"/>
  <c r="F34" i="10"/>
  <c r="C916" i="2"/>
  <c r="C885" i="2"/>
  <c r="C854" i="2"/>
  <c r="C824" i="2"/>
  <c r="C792" i="2"/>
  <c r="C760" i="2"/>
  <c r="C727" i="2"/>
  <c r="C695" i="2"/>
  <c r="C663" i="2"/>
  <c r="C400" i="2"/>
  <c r="C431" i="2"/>
  <c r="C562" i="2"/>
  <c r="C497" i="2"/>
  <c r="C463" i="2"/>
  <c r="C368" i="2"/>
  <c r="C335" i="2"/>
  <c r="C300" i="2"/>
  <c r="C265" i="2"/>
  <c r="C231" i="2"/>
  <c r="C200" i="2"/>
  <c r="C167" i="2"/>
  <c r="F30" i="1"/>
  <c r="F25" i="1"/>
  <c r="F26" i="1"/>
  <c r="F27" i="1"/>
  <c r="F65" i="1"/>
  <c r="F31" i="1"/>
  <c r="F58" i="10"/>
  <c r="F57" i="10"/>
  <c r="F56" i="10"/>
  <c r="F55" i="10"/>
  <c r="F54" i="10"/>
  <c r="F53" i="10"/>
  <c r="F52" i="10"/>
  <c r="F51" i="10"/>
  <c r="F49" i="10"/>
  <c r="F50" i="10"/>
  <c r="F47" i="10"/>
  <c r="F46" i="10"/>
  <c r="F48" i="10" s="1"/>
  <c r="F45" i="10"/>
  <c r="F44" i="10"/>
  <c r="F43" i="10"/>
  <c r="F42" i="10"/>
  <c r="F41" i="10"/>
  <c r="F39" i="10"/>
  <c r="F40" i="10"/>
  <c r="F35" i="10"/>
  <c r="F33" i="10"/>
  <c r="F32" i="10"/>
  <c r="F31" i="10"/>
  <c r="F30" i="10"/>
  <c r="F29" i="10"/>
  <c r="F28" i="10"/>
  <c r="F26" i="10"/>
  <c r="F25" i="10"/>
  <c r="F23" i="10"/>
  <c r="H1610" i="2"/>
  <c r="I1610" i="2" s="1"/>
  <c r="H185" i="2"/>
  <c r="I185" i="2" s="1"/>
  <c r="H322" i="2"/>
  <c r="I322" i="2" s="1"/>
  <c r="G1065" i="2"/>
  <c r="I1065" i="2" s="1"/>
  <c r="I1066" i="2" s="1"/>
  <c r="H1602" i="2"/>
  <c r="I1602" i="2"/>
  <c r="H1415" i="2"/>
  <c r="I1415" i="2"/>
  <c r="H77" i="2"/>
  <c r="I77" i="2"/>
  <c r="H1562" i="2"/>
  <c r="I1562" i="2"/>
  <c r="H1719" i="2"/>
  <c r="I1719" i="2" s="1"/>
  <c r="H1596" i="2"/>
  <c r="I1596" i="2" s="1"/>
  <c r="H1414" i="2"/>
  <c r="I1414" i="2" s="1"/>
  <c r="H1599" i="2"/>
  <c r="I1599" i="2" s="1"/>
  <c r="H1411" i="2"/>
  <c r="I1411" i="2" s="1"/>
  <c r="H1650" i="2"/>
  <c r="I1650" i="2" s="1"/>
  <c r="H1210" i="2"/>
  <c r="I1210" i="2" s="1"/>
  <c r="H1209" i="2"/>
  <c r="I1209" i="2" s="1"/>
  <c r="H1208" i="2"/>
  <c r="I1208" i="2" s="1"/>
  <c r="H990" i="2"/>
  <c r="I990" i="2" s="1"/>
  <c r="H1638" i="2"/>
  <c r="I1638" i="2" s="1"/>
  <c r="H1644" i="2"/>
  <c r="I1644" i="2" s="1"/>
  <c r="H999" i="2"/>
  <c r="I999" i="2" s="1"/>
  <c r="H1647" i="2"/>
  <c r="I1647" i="2" s="1"/>
  <c r="H1654" i="2"/>
  <c r="I1654" i="2" s="1"/>
  <c r="H1005" i="2"/>
  <c r="I1005" i="2" s="1"/>
  <c r="H996" i="2"/>
  <c r="I996" i="2" s="1"/>
  <c r="G405" i="2"/>
  <c r="I405" i="2" s="1"/>
  <c r="I406" i="2" s="1"/>
  <c r="G39" i="2"/>
  <c r="I39" i="2"/>
  <c r="H801" i="2"/>
  <c r="I801" i="2"/>
  <c r="H474" i="2"/>
  <c r="I474" i="2"/>
  <c r="H771" i="2"/>
  <c r="I771" i="2"/>
  <c r="H472" i="2"/>
  <c r="H1304" i="2"/>
  <c r="I1304" i="2" s="1"/>
  <c r="H1484" i="2"/>
  <c r="I1484" i="2" s="1"/>
  <c r="H74" i="2"/>
  <c r="I74" i="2" s="1"/>
  <c r="H1275" i="2"/>
  <c r="I1275" i="2" s="1"/>
  <c r="H1497" i="2"/>
  <c r="I1497" i="2" s="1"/>
  <c r="H1496" i="2"/>
  <c r="H1303" i="2"/>
  <c r="I1303" i="2" s="1"/>
  <c r="H1276" i="2"/>
  <c r="I1276" i="2" s="1"/>
  <c r="I1277" i="2" s="1"/>
  <c r="H1245" i="2"/>
  <c r="I1245" i="2" s="1"/>
  <c r="H640" i="2"/>
  <c r="I640" i="2" s="1"/>
  <c r="I1311" i="2"/>
  <c r="H1308" i="2"/>
  <c r="I1308" i="2" s="1"/>
  <c r="H1486" i="2"/>
  <c r="I1486" i="2" s="1"/>
  <c r="H1487" i="2"/>
  <c r="I1487" i="2" s="1"/>
  <c r="H1173" i="2"/>
  <c r="I1173" i="2" s="1"/>
  <c r="H1172" i="2"/>
  <c r="I1172" i="2" s="1"/>
  <c r="H1170" i="2"/>
  <c r="I1170" i="2" s="1"/>
  <c r="H1171" i="2"/>
  <c r="I1171" i="2" s="1"/>
  <c r="H1309" i="2"/>
  <c r="I1309" i="2" s="1"/>
  <c r="G1376" i="2"/>
  <c r="I1376" i="2" s="1"/>
  <c r="I1377" i="2" s="1"/>
  <c r="H1652" i="2"/>
  <c r="I1652" i="2" s="1"/>
  <c r="H508" i="2"/>
  <c r="I508" i="2" s="1"/>
  <c r="H1564" i="2"/>
  <c r="I1564" i="2" s="1"/>
  <c r="H1000" i="2"/>
  <c r="I1000" i="2" s="1"/>
  <c r="H1649" i="2"/>
  <c r="I1649" i="2" s="1"/>
  <c r="H997" i="2"/>
  <c r="I997" i="2" s="1"/>
  <c r="H993" i="2"/>
  <c r="I993" i="2" s="1"/>
  <c r="H1352" i="2"/>
  <c r="H634" i="2"/>
  <c r="I634" i="2" s="1"/>
  <c r="H1381" i="2"/>
  <c r="I1381" i="2" s="1"/>
  <c r="H863" i="2"/>
  <c r="I863" i="2" s="1"/>
  <c r="I864" i="2" s="1"/>
  <c r="H1343" i="2"/>
  <c r="H636" i="2"/>
  <c r="I636" i="2" s="1"/>
  <c r="H1346" i="2"/>
  <c r="I1346" i="2" s="1"/>
  <c r="H1175" i="2"/>
  <c r="I1175" i="2" s="1"/>
  <c r="H1136" i="2"/>
  <c r="I1136" i="2" s="1"/>
  <c r="H1101" i="2"/>
  <c r="I1101" i="2" s="1"/>
  <c r="H639" i="2"/>
  <c r="I639" i="2" s="1"/>
  <c r="H346" i="2"/>
  <c r="I346" i="2" s="1"/>
  <c r="H802" i="2"/>
  <c r="I802" i="2" s="1"/>
  <c r="H1694" i="2"/>
  <c r="I1694" i="2" s="1"/>
  <c r="H1429" i="2"/>
  <c r="I1429" i="2" s="1"/>
  <c r="H1426" i="2"/>
  <c r="I1426" i="2" s="1"/>
  <c r="H1425" i="2"/>
  <c r="I1425" i="2" s="1"/>
  <c r="H1016" i="2"/>
  <c r="I1016" i="2" s="1"/>
  <c r="H516" i="2"/>
  <c r="I516" i="2" s="1"/>
  <c r="H1728" i="2"/>
  <c r="I1728" i="2" s="1"/>
  <c r="H1253" i="2"/>
  <c r="I1253" i="2" s="1"/>
  <c r="H1358" i="2"/>
  <c r="H85" i="2"/>
  <c r="I85" i="2" s="1"/>
  <c r="H933" i="2"/>
  <c r="I933" i="2" s="1"/>
  <c r="H745" i="2"/>
  <c r="I745" i="2" s="1"/>
  <c r="H154" i="2"/>
  <c r="I154" i="2"/>
  <c r="H1729" i="2"/>
  <c r="I1729" i="2"/>
  <c r="H1111" i="2"/>
  <c r="I1111" i="2"/>
  <c r="H548" i="2"/>
  <c r="I548" i="2"/>
  <c r="H153" i="2"/>
  <c r="I153" i="2"/>
  <c r="I155" i="2" s="1"/>
  <c r="H144" i="5"/>
  <c r="D1359" i="2"/>
  <c r="D1358" i="2"/>
  <c r="D1354" i="2"/>
  <c r="D1353" i="2"/>
  <c r="D1351" i="2"/>
  <c r="D1343" i="2"/>
  <c r="D1350" i="2"/>
  <c r="I177" i="2"/>
  <c r="I178" i="2"/>
  <c r="F35" i="1"/>
  <c r="H155" i="5"/>
  <c r="F33" i="1"/>
  <c r="I1524" i="2"/>
  <c r="I1525" i="2" s="1"/>
  <c r="I1528" i="2"/>
  <c r="I1529" i="2" s="1"/>
  <c r="I1532" i="2"/>
  <c r="I1533" i="2" s="1"/>
  <c r="H151" i="5"/>
  <c r="H152" i="5"/>
  <c r="H153" i="5"/>
  <c r="H154" i="5"/>
  <c r="H148" i="5"/>
  <c r="H145" i="5"/>
  <c r="H141" i="5"/>
  <c r="H124" i="5"/>
  <c r="H125" i="5"/>
  <c r="H126" i="5"/>
  <c r="H127" i="5"/>
  <c r="H128" i="5"/>
  <c r="H129" i="5"/>
  <c r="H130" i="5"/>
  <c r="H131" i="5"/>
  <c r="H132" i="5"/>
  <c r="H123" i="5"/>
  <c r="H113" i="5"/>
  <c r="H103" i="5"/>
  <c r="H100" i="5"/>
  <c r="H91" i="5"/>
  <c r="H90" i="5"/>
  <c r="H84" i="5"/>
  <c r="H85" i="5"/>
  <c r="H86" i="5"/>
  <c r="H87" i="5"/>
  <c r="H88" i="5"/>
  <c r="H89" i="5"/>
  <c r="H79" i="5"/>
  <c r="H80" i="5"/>
  <c r="H81" i="5"/>
  <c r="H82" i="5"/>
  <c r="H83" i="5"/>
  <c r="H76" i="5"/>
  <c r="H43" i="5"/>
  <c r="H77" i="5"/>
  <c r="K1387" i="2"/>
  <c r="K1385" i="2"/>
  <c r="K1388" i="2"/>
  <c r="I1385" i="2"/>
  <c r="I1386" i="2"/>
  <c r="K1352" i="2"/>
  <c r="L1352" i="2"/>
  <c r="D1352" i="2"/>
  <c r="G921" i="2"/>
  <c r="I921" i="2" s="1"/>
  <c r="I922" i="2" s="1"/>
  <c r="I414" i="2"/>
  <c r="I415" i="2" s="1"/>
  <c r="K1356" i="2"/>
  <c r="K1350" i="2"/>
  <c r="K1357" i="2"/>
  <c r="H44" i="5"/>
  <c r="I1339" i="2"/>
  <c r="I1340" i="2" s="1"/>
  <c r="D1217" i="2"/>
  <c r="H1211" i="2"/>
  <c r="I1211" i="2"/>
  <c r="H136" i="5"/>
  <c r="H135" i="5"/>
  <c r="H134" i="5"/>
  <c r="H133" i="5"/>
  <c r="K1208" i="2"/>
  <c r="H78" i="5"/>
  <c r="I1281" i="2"/>
  <c r="I1271" i="2"/>
  <c r="I1272" i="2" s="1"/>
  <c r="I1250" i="2"/>
  <c r="I1240" i="2"/>
  <c r="I1241" i="2"/>
  <c r="I1204" i="2"/>
  <c r="I1205" i="2"/>
  <c r="H116" i="5"/>
  <c r="H117" i="5"/>
  <c r="H118" i="5"/>
  <c r="H119" i="5"/>
  <c r="H120" i="5"/>
  <c r="H1453" i="2"/>
  <c r="I1453" i="2" s="1"/>
  <c r="I1454" i="2" s="1"/>
  <c r="H114" i="5"/>
  <c r="I1449" i="2"/>
  <c r="I1450" i="2" s="1"/>
  <c r="H1720" i="2"/>
  <c r="I1720" i="2" s="1"/>
  <c r="H150" i="5"/>
  <c r="H149" i="5"/>
  <c r="I1724" i="2"/>
  <c r="I1725" i="2"/>
  <c r="I1714" i="2"/>
  <c r="I1715" i="2"/>
  <c r="H1651" i="2"/>
  <c r="I1651" i="2" s="1"/>
  <c r="K1670" i="2"/>
  <c r="H112" i="5"/>
  <c r="H52" i="5"/>
  <c r="H106" i="5"/>
  <c r="I1658" i="2"/>
  <c r="I1659" i="2" s="1"/>
  <c r="I1633" i="2"/>
  <c r="I1634" i="2" s="1"/>
  <c r="H1002" i="2"/>
  <c r="I1002" i="2" s="1"/>
  <c r="G1592" i="2"/>
  <c r="I1592" i="2" s="1"/>
  <c r="I1593" i="2" s="1"/>
  <c r="I1606" i="2"/>
  <c r="I1607" i="2" s="1"/>
  <c r="I445" i="2"/>
  <c r="I446" i="2" s="1"/>
  <c r="I929" i="2"/>
  <c r="I930" i="2" s="1"/>
  <c r="I925" i="2"/>
  <c r="I926" i="2" s="1"/>
  <c r="I899" i="2"/>
  <c r="I900" i="2" s="1"/>
  <c r="H45" i="5"/>
  <c r="I867" i="2"/>
  <c r="I868" i="2"/>
  <c r="I859" i="2"/>
  <c r="I860" i="2"/>
  <c r="H833" i="2"/>
  <c r="I833" i="2" s="1"/>
  <c r="I834" i="2" s="1"/>
  <c r="I837" i="2"/>
  <c r="I838" i="2" s="1"/>
  <c r="I829" i="2"/>
  <c r="I830" i="2" s="1"/>
  <c r="I807" i="2"/>
  <c r="I808" i="2" s="1"/>
  <c r="I797" i="2"/>
  <c r="I798" i="2" s="1"/>
  <c r="H344" i="2"/>
  <c r="I344" i="2" s="1"/>
  <c r="H769" i="2"/>
  <c r="I769" i="2" s="1"/>
  <c r="I472" i="2"/>
  <c r="I59" i="5"/>
  <c r="H95" i="5"/>
  <c r="I775" i="2"/>
  <c r="I776" i="2"/>
  <c r="I765" i="2"/>
  <c r="I766" i="2"/>
  <c r="I100" i="5"/>
  <c r="I741" i="2"/>
  <c r="I742" i="2" s="1"/>
  <c r="I737" i="2"/>
  <c r="I738" i="2" s="1"/>
  <c r="I677" i="2"/>
  <c r="I678" i="2" s="1"/>
  <c r="I181" i="2"/>
  <c r="I182" i="2" s="1"/>
  <c r="G1682" i="2"/>
  <c r="I1682" i="2" s="1"/>
  <c r="G1681" i="2"/>
  <c r="I1681" i="2" s="1"/>
  <c r="I709" i="2"/>
  <c r="I710" i="2" s="1"/>
  <c r="I705" i="2"/>
  <c r="I706" i="2" s="1"/>
  <c r="I1690" i="2"/>
  <c r="I1691" i="2" s="1"/>
  <c r="I1686" i="2"/>
  <c r="I1687" i="2" s="1"/>
  <c r="F78" i="1"/>
  <c r="F77" i="1"/>
  <c r="F76" i="1"/>
  <c r="F75" i="1"/>
  <c r="F74" i="1"/>
  <c r="F72" i="1"/>
  <c r="F71" i="1"/>
  <c r="F70" i="1"/>
  <c r="F69" i="1"/>
  <c r="F66" i="1"/>
  <c r="F67" i="1" s="1"/>
  <c r="F68" i="1" s="1"/>
  <c r="F64" i="1"/>
  <c r="F63" i="1"/>
  <c r="F62" i="1"/>
  <c r="D35" i="8"/>
  <c r="D27" i="8"/>
  <c r="D40" i="8"/>
  <c r="D32" i="8"/>
  <c r="D24" i="8"/>
  <c r="D10" i="8"/>
  <c r="D29" i="7"/>
  <c r="D34" i="7"/>
  <c r="D22" i="7"/>
  <c r="D27" i="7"/>
  <c r="D20" i="7"/>
  <c r="D9" i="7"/>
  <c r="I512" i="2"/>
  <c r="I513" i="2"/>
  <c r="F28" i="1"/>
  <c r="K640" i="2"/>
  <c r="K639" i="2"/>
  <c r="K638" i="2"/>
  <c r="I611" i="2"/>
  <c r="I612" i="2"/>
  <c r="I1043" i="2"/>
  <c r="I1044" i="2"/>
  <c r="I206" i="2"/>
  <c r="I71" i="2"/>
  <c r="F34" i="1"/>
  <c r="C2" i="2"/>
  <c r="I12" i="2"/>
  <c r="I13" i="2"/>
  <c r="C34" i="2"/>
  <c r="I44" i="2"/>
  <c r="I45" i="2" s="1"/>
  <c r="I48" i="2"/>
  <c r="I49" i="2" s="1"/>
  <c r="C100" i="2"/>
  <c r="H109" i="2"/>
  <c r="I109" i="2"/>
  <c r="H110" i="2"/>
  <c r="I110" i="2"/>
  <c r="H111" i="2"/>
  <c r="I111" i="2"/>
  <c r="H112" i="2"/>
  <c r="I112" i="2"/>
  <c r="I116" i="2"/>
  <c r="I117" i="2"/>
  <c r="C65" i="2"/>
  <c r="I81" i="2"/>
  <c r="I82" i="2" s="1"/>
  <c r="I241" i="2"/>
  <c r="I245" i="2"/>
  <c r="I246" i="2"/>
  <c r="I276" i="2"/>
  <c r="I277" i="2"/>
  <c r="I281" i="2"/>
  <c r="I282" i="2"/>
  <c r="I311" i="2"/>
  <c r="I316" i="2"/>
  <c r="I317" i="2" s="1"/>
  <c r="I340" i="2"/>
  <c r="I341" i="2" s="1"/>
  <c r="I350" i="2"/>
  <c r="I351" i="2" s="1"/>
  <c r="I468" i="2"/>
  <c r="I469" i="2" s="1"/>
  <c r="I478" i="2"/>
  <c r="I479" i="2" s="1"/>
  <c r="H572" i="2"/>
  <c r="I572" i="2" s="1"/>
  <c r="I576" i="2"/>
  <c r="I577" i="2"/>
  <c r="I540" i="2"/>
  <c r="I541" i="2"/>
  <c r="H544" i="2"/>
  <c r="I544" i="2" s="1"/>
  <c r="I545" i="2" s="1"/>
  <c r="I1035" i="2"/>
  <c r="I1036" i="2" s="1"/>
  <c r="I1039" i="2"/>
  <c r="I1040" i="2" s="1"/>
  <c r="C1060" i="2"/>
  <c r="I1069" i="2"/>
  <c r="I1070" i="2"/>
  <c r="I1073" i="2"/>
  <c r="I1074" i="2"/>
  <c r="C946" i="2"/>
  <c r="I951" i="2"/>
  <c r="I952" i="2" s="1"/>
  <c r="H956" i="2"/>
  <c r="I956" i="2" s="1"/>
  <c r="I961" i="2"/>
  <c r="I962" i="2" s="1"/>
  <c r="C1091" i="2"/>
  <c r="I1096" i="2"/>
  <c r="I1097" i="2"/>
  <c r="H1103" i="2"/>
  <c r="I1103" i="2" s="1"/>
  <c r="I1107" i="2"/>
  <c r="I1108" i="2" s="1"/>
  <c r="I382" i="2"/>
  <c r="I383" i="2" s="1"/>
  <c r="C979" i="2"/>
  <c r="I984" i="2"/>
  <c r="I985" i="2"/>
  <c r="H1001" i="2"/>
  <c r="I1001" i="2"/>
  <c r="I1010" i="2"/>
  <c r="I1011" i="2"/>
  <c r="C1126" i="2"/>
  <c r="I1131" i="2"/>
  <c r="I1132" i="2" s="1"/>
  <c r="H1135" i="2"/>
  <c r="I1135" i="2" s="1"/>
  <c r="I1140" i="2" s="1"/>
  <c r="I1143" i="2"/>
  <c r="I1144" i="2"/>
  <c r="C1161" i="2"/>
  <c r="I1166" i="2"/>
  <c r="I1167" i="2" s="1"/>
  <c r="I1180" i="2"/>
  <c r="I1181" i="2" s="1"/>
  <c r="C1294" i="2"/>
  <c r="H1305" i="2"/>
  <c r="I1305" i="2"/>
  <c r="I1317" i="2"/>
  <c r="I1318" i="2"/>
  <c r="C1475" i="2"/>
  <c r="D1485" i="2"/>
  <c r="D1489" i="2"/>
  <c r="D1491" i="2"/>
  <c r="D1494" i="2"/>
  <c r="D1496" i="2"/>
  <c r="I1501" i="2"/>
  <c r="I1502" i="2"/>
  <c r="I599" i="2"/>
  <c r="I600" i="2"/>
  <c r="I603" i="2"/>
  <c r="I604" i="2"/>
  <c r="H607" i="2"/>
  <c r="I607" i="2"/>
  <c r="I608" i="2" s="1"/>
  <c r="C1401" i="2"/>
  <c r="D1410" i="2"/>
  <c r="I1420" i="2"/>
  <c r="I1421" i="2"/>
  <c r="I1554" i="2"/>
  <c r="I1555" i="2"/>
  <c r="D1558" i="2"/>
  <c r="D1559" i="2"/>
  <c r="D1560" i="2"/>
  <c r="D1561" i="2"/>
  <c r="I1568" i="2"/>
  <c r="I1569" i="2"/>
  <c r="F32" i="1"/>
  <c r="D14" i="8"/>
  <c r="D18" i="8"/>
  <c r="D15" i="7"/>
  <c r="I16" i="2"/>
  <c r="I17" i="2"/>
  <c r="H321" i="2"/>
  <c r="I321" i="2"/>
  <c r="H1573" i="2"/>
  <c r="I1573" i="2"/>
  <c r="H672" i="2"/>
  <c r="I672" i="2"/>
  <c r="H633" i="2"/>
  <c r="I633" i="2"/>
  <c r="H1148" i="2"/>
  <c r="I1148" i="2"/>
  <c r="H571" i="2"/>
  <c r="I571" i="2"/>
  <c r="I573" i="2" s="1"/>
  <c r="H1612" i="2"/>
  <c r="I1612" i="2" s="1"/>
  <c r="H581" i="2"/>
  <c r="I581" i="2" s="1"/>
  <c r="H250" i="2"/>
  <c r="I250" i="2" s="1"/>
  <c r="H419" i="2"/>
  <c r="I419" i="2" s="1"/>
  <c r="H1077" i="2"/>
  <c r="I1077" i="2" s="1"/>
  <c r="H998" i="2"/>
  <c r="I998" i="2" s="1"/>
  <c r="H310" i="2"/>
  <c r="I310" i="2" s="1"/>
  <c r="H895" i="2"/>
  <c r="I895" i="2" s="1"/>
  <c r="H904" i="2"/>
  <c r="I904" i="2" s="1"/>
  <c r="H1574" i="2"/>
  <c r="I1574" i="2" s="1"/>
  <c r="H1561" i="2"/>
  <c r="I1561" i="2" s="1"/>
  <c r="H1558" i="2"/>
  <c r="H1493" i="2"/>
  <c r="I1493" i="2" s="1"/>
  <c r="H811" i="2"/>
  <c r="I811" i="2" s="1"/>
  <c r="H1597" i="2"/>
  <c r="I1597" i="2" s="1"/>
  <c r="H1695" i="2"/>
  <c r="I1695" i="2" s="1"/>
  <c r="H580" i="2"/>
  <c r="I580" i="2" s="1"/>
  <c r="I582" i="2" s="1"/>
  <c r="H1490" i="2"/>
  <c r="I1490" i="2" s="1"/>
  <c r="H1306" i="2"/>
  <c r="I1306" i="2" s="1"/>
  <c r="H76" i="2"/>
  <c r="I76" i="2" s="1"/>
  <c r="H409" i="2"/>
  <c r="I409" i="2" s="1"/>
  <c r="H377" i="2"/>
  <c r="I377" i="2" s="1"/>
  <c r="H903" i="2"/>
  <c r="I903" i="2"/>
  <c r="H1642" i="2"/>
  <c r="I1642" i="2" s="1"/>
  <c r="H1639" i="2"/>
  <c r="I1639" i="2" s="1"/>
  <c r="H1718" i="2"/>
  <c r="I1718" i="2" s="1"/>
  <c r="H1410" i="2"/>
  <c r="I1410" i="2" s="1"/>
  <c r="H75" i="2"/>
  <c r="I75" i="2" s="1"/>
  <c r="H1648" i="2"/>
  <c r="I1648" i="2" s="1"/>
  <c r="H1254" i="2"/>
  <c r="I1254" i="2" s="1"/>
  <c r="H1495" i="2"/>
  <c r="I1495" i="2" s="1"/>
  <c r="H1601" i="2"/>
  <c r="I1601" i="2" s="1"/>
  <c r="H1653" i="2"/>
  <c r="I1653" i="2" s="1"/>
  <c r="H1244" i="2"/>
  <c r="I1244" i="2" s="1"/>
  <c r="H715" i="2"/>
  <c r="I715" i="2" s="1"/>
  <c r="H1015" i="2"/>
  <c r="I1015" i="2" s="1"/>
  <c r="H1615" i="2"/>
  <c r="I1615" i="2" s="1"/>
  <c r="H1285" i="2"/>
  <c r="I1285" i="2" s="1"/>
  <c r="H287" i="2"/>
  <c r="I287" i="2" s="1"/>
  <c r="H747" i="2"/>
  <c r="I747" i="2" s="1"/>
  <c r="H1611" i="2"/>
  <c r="I1611" i="2" s="1"/>
  <c r="H1492" i="2"/>
  <c r="I1492" i="2" s="1"/>
  <c r="H418" i="2"/>
  <c r="I418" i="2" s="1"/>
  <c r="I420" i="2" s="1"/>
  <c r="H286" i="2"/>
  <c r="I286" i="2" s="1"/>
  <c r="H1614" i="2"/>
  <c r="I1614" i="2" s="1"/>
  <c r="H1359" i="2"/>
  <c r="I1359" i="2" s="1"/>
  <c r="H312" i="2"/>
  <c r="I312" i="2" s="1"/>
  <c r="H1572" i="2"/>
  <c r="I1572" i="2" s="1"/>
  <c r="H965" i="2"/>
  <c r="I965" i="2" s="1"/>
  <c r="H1430" i="2"/>
  <c r="I1430" i="2" s="1"/>
  <c r="H355" i="2"/>
  <c r="I355" i="2" s="1"/>
  <c r="H1307" i="2"/>
  <c r="I1307" i="2" s="1"/>
  <c r="G7" i="2"/>
  <c r="I7" i="2" s="1"/>
  <c r="H1600" i="2"/>
  <c r="I1600" i="2" s="1"/>
  <c r="H1494" i="2"/>
  <c r="H320" i="2"/>
  <c r="I320" i="2" s="1"/>
  <c r="I323" i="2" s="1"/>
  <c r="H635" i="2"/>
  <c r="I635" i="2" s="1"/>
  <c r="H1488" i="2"/>
  <c r="I1488" i="2" s="1"/>
  <c r="H1313" i="2"/>
  <c r="I1313" i="2" s="1"/>
  <c r="H1427" i="2"/>
  <c r="I1427" i="2" s="1"/>
  <c r="H1696" i="2"/>
  <c r="I1696" i="2" s="1"/>
  <c r="H506" i="2"/>
  <c r="I506" i="2" s="1"/>
  <c r="H673" i="2"/>
  <c r="I673" i="2" s="1"/>
  <c r="H1536" i="2"/>
  <c r="I1536" i="2" s="1"/>
  <c r="H894" i="2"/>
  <c r="I894" i="2" s="1"/>
  <c r="H345" i="2"/>
  <c r="I345" i="2" s="1"/>
  <c r="H1560" i="2"/>
  <c r="I1560" i="2" s="1"/>
  <c r="H1491" i="2"/>
  <c r="I1491" i="2" s="1"/>
  <c r="H1489" i="2"/>
  <c r="I1489" i="2" s="1"/>
  <c r="H1003" i="2"/>
  <c r="I1003" i="2" s="1"/>
  <c r="H1613" i="2"/>
  <c r="I1613" i="2" s="1"/>
  <c r="H1645" i="2"/>
  <c r="I1645" i="2" s="1"/>
  <c r="H1663" i="2"/>
  <c r="I1663" i="2" s="1"/>
  <c r="H1428" i="2"/>
  <c r="I1428" i="2" s="1"/>
  <c r="H441" i="2"/>
  <c r="I441" i="2" s="1"/>
  <c r="H507" i="2"/>
  <c r="I507" i="2" s="1"/>
  <c r="H803" i="2"/>
  <c r="I803" i="2" s="1"/>
  <c r="H275" i="2"/>
  <c r="I275" i="2" s="1"/>
  <c r="I278" i="2" s="1"/>
  <c r="H1380" i="2"/>
  <c r="I1380" i="2" s="1"/>
  <c r="H1344" i="2"/>
  <c r="I1344" i="2" s="1"/>
  <c r="H285" i="2"/>
  <c r="I285" i="2" s="1"/>
  <c r="I288" i="2" s="1"/>
  <c r="H1416" i="2"/>
  <c r="I1416" i="2" s="1"/>
  <c r="H1310" i="2"/>
  <c r="I1310" i="2" s="1"/>
  <c r="H1176" i="2"/>
  <c r="I1176" i="2" s="1"/>
  <c r="H1345" i="2"/>
  <c r="I1345" i="2" s="1"/>
  <c r="H52" i="2"/>
  <c r="I52" i="2" s="1"/>
  <c r="H1505" i="2"/>
  <c r="I1505" i="2" s="1"/>
  <c r="H186" i="2"/>
  <c r="I186" i="2" s="1"/>
  <c r="H714" i="2"/>
  <c r="I714" i="2" s="1"/>
  <c r="H450" i="2"/>
  <c r="I450" i="2" s="1"/>
  <c r="H1662" i="2"/>
  <c r="I1662" i="2" s="1"/>
  <c r="H780" i="2"/>
  <c r="I780" i="2" s="1"/>
  <c r="H20" i="2"/>
  <c r="I20" i="2" s="1"/>
  <c r="H1616" i="2"/>
  <c r="I1616" i="2" s="1"/>
  <c r="H649" i="2"/>
  <c r="I649" i="2" s="1"/>
  <c r="H1014" i="2"/>
  <c r="I1014" i="2" s="1"/>
  <c r="I1017" i="2" s="1"/>
  <c r="H746" i="2"/>
  <c r="I746" i="2"/>
  <c r="H483" i="2"/>
  <c r="I483" i="2"/>
  <c r="H1184" i="2"/>
  <c r="I1184" i="2"/>
  <c r="H842" i="2"/>
  <c r="I842" i="2"/>
  <c r="H86" i="2"/>
  <c r="I86" i="2"/>
  <c r="H440" i="2"/>
  <c r="I440" i="2"/>
  <c r="I442" i="2" s="1"/>
  <c r="H378" i="2"/>
  <c r="I378" i="2" s="1"/>
  <c r="H1174" i="2"/>
  <c r="I1174" i="2" s="1"/>
  <c r="H1559" i="2"/>
  <c r="H1643" i="2"/>
  <c r="I1643" i="2" s="1"/>
  <c r="H994" i="2"/>
  <c r="I994" i="2" s="1"/>
  <c r="G173" i="2"/>
  <c r="I173" i="2" s="1"/>
  <c r="G8" i="2"/>
  <c r="I8" i="2" s="1"/>
  <c r="G40" i="2"/>
  <c r="I40" i="2" s="1"/>
  <c r="I41" i="2" s="1"/>
  <c r="G270" i="2"/>
  <c r="I270" i="2" s="1"/>
  <c r="G306" i="2"/>
  <c r="I306" i="2" s="1"/>
  <c r="G172" i="2"/>
  <c r="I172" i="2" s="1"/>
  <c r="H988" i="2"/>
  <c r="I988" i="2"/>
  <c r="H1637" i="2"/>
  <c r="I1637" i="2"/>
  <c r="H1102" i="2"/>
  <c r="I1102" i="2"/>
  <c r="H957" i="2"/>
  <c r="I957" i="2"/>
  <c r="H1462" i="2"/>
  <c r="I1462" i="2"/>
  <c r="G1406" i="2"/>
  <c r="I1406" i="2"/>
  <c r="I1407" i="2" s="1"/>
  <c r="H1312" i="2"/>
  <c r="I1312" i="2" s="1"/>
  <c r="G733" i="2"/>
  <c r="I733" i="2" s="1"/>
  <c r="H92" i="5"/>
  <c r="H1646" i="2"/>
  <c r="I1646" i="2" s="1"/>
  <c r="H1006" i="2"/>
  <c r="I1006" i="2" s="1"/>
  <c r="H955" i="2"/>
  <c r="I955" i="2" s="1"/>
  <c r="I958" i="2" s="1"/>
  <c r="H1100" i="2"/>
  <c r="I1100" i="2" s="1"/>
  <c r="I1104" i="2" s="1"/>
  <c r="H638" i="2"/>
  <c r="I638" i="2" s="1"/>
  <c r="H1485" i="2"/>
  <c r="I1485" i="2" s="1"/>
  <c r="G732" i="2"/>
  <c r="I732" i="2" s="1"/>
  <c r="I734" i="2" s="1"/>
  <c r="G700" i="2"/>
  <c r="I700" i="2" s="1"/>
  <c r="G668" i="2"/>
  <c r="I668" i="2" s="1"/>
  <c r="I669" i="2" s="1"/>
  <c r="G236" i="2"/>
  <c r="I236" i="2" s="1"/>
  <c r="I237" i="2" s="1"/>
  <c r="H992" i="2"/>
  <c r="I992" i="2"/>
  <c r="H1641" i="2"/>
  <c r="I1641" i="2"/>
  <c r="H1412" i="2"/>
  <c r="I1412" i="2"/>
  <c r="H1598" i="2"/>
  <c r="I1598" i="2"/>
  <c r="H637" i="2"/>
  <c r="I637" i="2"/>
  <c r="H648" i="2"/>
  <c r="I648" i="2" s="1"/>
  <c r="I650" i="2" s="1"/>
  <c r="H1506" i="2"/>
  <c r="I1506" i="2" s="1"/>
  <c r="H1322" i="2"/>
  <c r="I1322" i="2" s="1"/>
  <c r="G373" i="2"/>
  <c r="I373" i="2" s="1"/>
  <c r="I374" i="2" s="1"/>
  <c r="G1299" i="2"/>
  <c r="I1299" i="2" s="1"/>
  <c r="I1300" i="2" s="1"/>
  <c r="G1480" i="2"/>
  <c r="I1480" i="2"/>
  <c r="I1481" i="2" s="1"/>
  <c r="G436" i="2"/>
  <c r="I436" i="2" s="1"/>
  <c r="I437" i="2" s="1"/>
  <c r="G271" i="2"/>
  <c r="I271" i="2" s="1"/>
  <c r="H1222" i="2"/>
  <c r="I1222" i="2" s="1"/>
  <c r="H1463" i="2"/>
  <c r="I1463" i="2" s="1"/>
  <c r="H1185" i="2"/>
  <c r="I1185" i="2" s="1"/>
  <c r="H1413" i="2"/>
  <c r="I1413" i="2" s="1"/>
  <c r="I1417" i="2" s="1"/>
  <c r="G629" i="2"/>
  <c r="I629" i="2" s="1"/>
  <c r="I630" i="2" s="1"/>
  <c r="H989" i="2"/>
  <c r="I989" i="2" s="1"/>
  <c r="G536" i="2"/>
  <c r="I536" i="2" s="1"/>
  <c r="I537" i="2"/>
  <c r="H841" i="2"/>
  <c r="I841" i="2"/>
  <c r="I843" i="2" s="1"/>
  <c r="G567" i="2"/>
  <c r="I567" i="2"/>
  <c r="I568" i="2" s="1"/>
  <c r="H1664" i="2"/>
  <c r="I1664" i="2" s="1"/>
  <c r="H1112" i="2"/>
  <c r="I1112" i="2" s="1"/>
  <c r="H966" i="2"/>
  <c r="I966" i="2" s="1"/>
  <c r="H410" i="2"/>
  <c r="I410" i="2" s="1"/>
  <c r="H770" i="2"/>
  <c r="I770" i="2" s="1"/>
  <c r="H240" i="2"/>
  <c r="I240" i="2" s="1"/>
  <c r="I242" i="2" s="1"/>
  <c r="H473" i="2"/>
  <c r="I473" i="2" s="1"/>
  <c r="I475" i="2" s="1"/>
  <c r="H991" i="2"/>
  <c r="I991" i="2" s="1"/>
  <c r="H1640" i="2"/>
  <c r="I1640" i="2" s="1"/>
  <c r="H995" i="2"/>
  <c r="I995" i="2" s="1"/>
  <c r="G305" i="2"/>
  <c r="I305" i="2" s="1"/>
  <c r="G502" i="2"/>
  <c r="I502" i="2" s="1"/>
  <c r="I503" i="2" s="1"/>
  <c r="G701" i="2"/>
  <c r="I701" i="2" s="1"/>
  <c r="G890" i="2"/>
  <c r="I890" i="2" s="1"/>
  <c r="I891" i="2" s="1"/>
  <c r="I1496" i="2"/>
  <c r="H779" i="2"/>
  <c r="I779" i="2"/>
  <c r="I781" i="2" s="1"/>
  <c r="H251" i="2"/>
  <c r="I251" i="2" s="1"/>
  <c r="H449" i="2"/>
  <c r="I449" i="2" s="1"/>
  <c r="H713" i="2"/>
  <c r="I713" i="2" s="1"/>
  <c r="D47" i="8"/>
  <c r="D55" i="8" s="1"/>
  <c r="H249" i="2"/>
  <c r="I249" i="2" s="1"/>
  <c r="I1494" i="2"/>
  <c r="H1284" i="2"/>
  <c r="I1284" i="2" s="1"/>
  <c r="I1286" i="2" s="1"/>
  <c r="I1287" i="2" s="1"/>
  <c r="H683" i="2"/>
  <c r="I683" i="2"/>
  <c r="I1559" i="2"/>
  <c r="H871" i="2"/>
  <c r="I871" i="2" s="1"/>
  <c r="H354" i="2"/>
  <c r="I354" i="2" s="1"/>
  <c r="H681" i="2"/>
  <c r="I681" i="2"/>
  <c r="H482" i="2"/>
  <c r="I482" i="2"/>
  <c r="I484" i="2" s="1"/>
  <c r="I1558" i="2"/>
  <c r="D46" i="8"/>
  <c r="D54" i="8" s="1"/>
  <c r="H549" i="2"/>
  <c r="I549" i="2" s="1"/>
  <c r="H517" i="2"/>
  <c r="I517" i="2" s="1"/>
  <c r="H682" i="2"/>
  <c r="I682" i="2" s="1"/>
  <c r="H1461" i="2"/>
  <c r="I1461" i="2" s="1"/>
  <c r="H1321" i="2"/>
  <c r="I1321" i="2"/>
  <c r="H386" i="2"/>
  <c r="I386" i="2" s="1"/>
  <c r="H1424" i="2"/>
  <c r="I1424" i="2" s="1"/>
  <c r="H1537" i="2"/>
  <c r="I1537" i="2" s="1"/>
  <c r="H1389" i="2"/>
  <c r="I1389" i="2" s="1"/>
  <c r="H812" i="2"/>
  <c r="I812" i="2" s="1"/>
  <c r="I813" i="2" s="1"/>
  <c r="I814" i="2" s="1"/>
  <c r="H387" i="2"/>
  <c r="I387" i="2" s="1"/>
  <c r="H1147" i="2"/>
  <c r="I1147" i="2" s="1"/>
  <c r="I1149" i="2" s="1"/>
  <c r="H872" i="2"/>
  <c r="I872" i="2" s="1"/>
  <c r="H1223" i="2"/>
  <c r="I1223" i="2" s="1"/>
  <c r="H217" i="2"/>
  <c r="I217" i="2" s="1"/>
  <c r="H1047" i="2"/>
  <c r="I1047" i="2" s="1"/>
  <c r="I1048" i="2" s="1"/>
  <c r="I1049" i="2" s="1"/>
  <c r="I1050" i="2" s="1"/>
  <c r="I1051" i="2" s="1"/>
  <c r="F52" i="1"/>
  <c r="I1358" i="2"/>
  <c r="H120" i="2"/>
  <c r="I120" i="2" s="1"/>
  <c r="H121" i="2"/>
  <c r="I121" i="2" s="1"/>
  <c r="D51" i="8"/>
  <c r="D12" i="7"/>
  <c r="D38" i="7"/>
  <c r="D44" i="7" s="1"/>
  <c r="I1343" i="2"/>
  <c r="I1352" i="2"/>
  <c r="F29" i="1"/>
  <c r="D50" i="8"/>
  <c r="G105" i="2"/>
  <c r="I105" i="2" s="1"/>
  <c r="I106" i="2" s="1"/>
  <c r="D41" i="7"/>
  <c r="F53" i="1"/>
  <c r="F54" i="1"/>
  <c r="I1212" i="2"/>
  <c r="I421" i="2"/>
  <c r="I307" i="2"/>
  <c r="I1721" i="2"/>
  <c r="I146" i="2"/>
  <c r="I583" i="2"/>
  <c r="I411" i="2"/>
  <c r="I113" i="2"/>
  <c r="I804" i="2"/>
  <c r="I1018" i="2"/>
  <c r="I674" i="2"/>
  <c r="I651" i="2"/>
  <c r="I1177" i="2"/>
  <c r="I53" i="2"/>
  <c r="I54" i="2"/>
  <c r="I1113" i="2"/>
  <c r="I1114" i="2"/>
  <c r="D39" i="7"/>
  <c r="I156" i="2"/>
  <c r="I1730" i="2"/>
  <c r="I1731" i="2"/>
  <c r="I1732" i="2" s="1"/>
  <c r="I1733" i="2" s="1"/>
  <c r="I1697" i="2"/>
  <c r="I1698" i="2"/>
  <c r="I21" i="2"/>
  <c r="I22" i="2"/>
  <c r="I1665" i="2"/>
  <c r="I1666" i="2"/>
  <c r="I550" i="2"/>
  <c r="I551" i="2" s="1"/>
  <c r="I552" i="2" s="1"/>
  <c r="I553" i="2" s="1"/>
  <c r="I87" i="2"/>
  <c r="I88" i="2" s="1"/>
  <c r="I613" i="2"/>
  <c r="I614" i="2"/>
  <c r="I615" i="2" s="1"/>
  <c r="D45" i="7"/>
  <c r="D42" i="7"/>
  <c r="I815" i="2" l="1"/>
  <c r="I816" i="2" s="1"/>
  <c r="I1498" i="2"/>
  <c r="I1347" i="2"/>
  <c r="I1565" i="2"/>
  <c r="I313" i="2"/>
  <c r="I772" i="2"/>
  <c r="I347" i="2"/>
  <c r="I509" i="2"/>
  <c r="I1246" i="2"/>
  <c r="G20" i="10"/>
  <c r="H20" i="10" s="1"/>
  <c r="G20" i="1"/>
  <c r="H20" i="1" s="1"/>
  <c r="I218" i="2"/>
  <c r="I219" i="2" s="1"/>
  <c r="I220" i="2" s="1"/>
  <c r="I221" i="2" s="1"/>
  <c r="I222" i="2" s="1"/>
  <c r="I223" i="2" s="1"/>
  <c r="I451" i="2"/>
  <c r="I452" i="2" s="1"/>
  <c r="I453" i="2" s="1"/>
  <c r="I454" i="2" s="1"/>
  <c r="I1186" i="2"/>
  <c r="I1187" i="2" s="1"/>
  <c r="I1188" i="2" s="1"/>
  <c r="I1189" i="2" s="1"/>
  <c r="I1190" i="2" s="1"/>
  <c r="I1191" i="2" s="1"/>
  <c r="I1507" i="2"/>
  <c r="I1508" i="2" s="1"/>
  <c r="I1509" i="2" s="1"/>
  <c r="I1510" i="2" s="1"/>
  <c r="I1511" i="2" s="1"/>
  <c r="I1512" i="2" s="1"/>
  <c r="I702" i="2"/>
  <c r="I1655" i="2"/>
  <c r="I1683" i="2"/>
  <c r="I1538" i="2"/>
  <c r="I1539" i="2" s="1"/>
  <c r="I1540" i="2" s="1"/>
  <c r="I1541" i="2" s="1"/>
  <c r="I1542" i="2" s="1"/>
  <c r="I1543" i="2" s="1"/>
  <c r="G41" i="1" s="1"/>
  <c r="H41" i="1" s="1"/>
  <c r="I356" i="2"/>
  <c r="I357" i="2" s="1"/>
  <c r="I358" i="2" s="1"/>
  <c r="I359" i="2" s="1"/>
  <c r="I967" i="2"/>
  <c r="I968" i="2" s="1"/>
  <c r="I969" i="2" s="1"/>
  <c r="I970" i="2" s="1"/>
  <c r="I971" i="2" s="1"/>
  <c r="I972" i="2" s="1"/>
  <c r="I9" i="2"/>
  <c r="I1007" i="2"/>
  <c r="I1019" i="2" s="1"/>
  <c r="I1020" i="2" s="1"/>
  <c r="I1667" i="2"/>
  <c r="I1668" i="2" s="1"/>
  <c r="I1115" i="2"/>
  <c r="I1116" i="2" s="1"/>
  <c r="I1464" i="2"/>
  <c r="I1465" i="2" s="1"/>
  <c r="I485" i="2"/>
  <c r="I486" i="2" s="1"/>
  <c r="I487" i="2" s="1"/>
  <c r="I388" i="2"/>
  <c r="I782" i="2"/>
  <c r="I783" i="2" s="1"/>
  <c r="I784" i="2" s="1"/>
  <c r="I1575" i="2"/>
  <c r="I1576" i="2" s="1"/>
  <c r="I1577" i="2" s="1"/>
  <c r="I1578" i="2" s="1"/>
  <c r="I1579" i="2" s="1"/>
  <c r="I1580" i="2" s="1"/>
  <c r="G49" i="1" s="1"/>
  <c r="H49" i="1" s="1"/>
  <c r="I23" i="2"/>
  <c r="I24" i="2" s="1"/>
  <c r="I1699" i="2"/>
  <c r="I1700" i="2" s="1"/>
  <c r="I157" i="2"/>
  <c r="I158" i="2" s="1"/>
  <c r="I55" i="2"/>
  <c r="I56" i="2" s="1"/>
  <c r="I1323" i="2"/>
  <c r="I1324" i="2" s="1"/>
  <c r="I1288" i="2"/>
  <c r="I1289" i="2" s="1"/>
  <c r="I252" i="2"/>
  <c r="I253" i="2" s="1"/>
  <c r="I254" i="2" s="1"/>
  <c r="I255" i="2" s="1"/>
  <c r="I174" i="2"/>
  <c r="I272" i="2"/>
  <c r="I896" i="2"/>
  <c r="I905" i="2"/>
  <c r="I906" i="2" s="1"/>
  <c r="I907" i="2" s="1"/>
  <c r="I908" i="2" s="1"/>
  <c r="I909" i="2" s="1"/>
  <c r="I910" i="2" s="1"/>
  <c r="G53" i="10" s="1"/>
  <c r="H53" i="10" s="1"/>
  <c r="I1382" i="2"/>
  <c r="I817" i="2"/>
  <c r="I818" i="2" s="1"/>
  <c r="G47" i="10" s="1"/>
  <c r="H47" i="10" s="1"/>
  <c r="I1669" i="2"/>
  <c r="I1670" i="2" s="1"/>
  <c r="G64" i="1" s="1"/>
  <c r="H64" i="1" s="1"/>
  <c r="I25" i="2"/>
  <c r="I26" i="2" s="1"/>
  <c r="I1734" i="2"/>
  <c r="I1735" i="2" s="1"/>
  <c r="G78" i="1" s="1"/>
  <c r="H78" i="1" s="1"/>
  <c r="I57" i="2"/>
  <c r="I58" i="2" s="1"/>
  <c r="I1290" i="2"/>
  <c r="H1218" i="2"/>
  <c r="I1218" i="2" s="1"/>
  <c r="I1291" i="2"/>
  <c r="I256" i="2"/>
  <c r="I257" i="2" s="1"/>
  <c r="G25" i="10" s="1"/>
  <c r="H25" i="10" s="1"/>
  <c r="I616" i="2"/>
  <c r="I617" i="2" s="1"/>
  <c r="I1701" i="2"/>
  <c r="I1702" i="2" s="1"/>
  <c r="G65" i="1" s="1"/>
  <c r="H65" i="1" s="1"/>
  <c r="I159" i="2"/>
  <c r="I160" i="2" s="1"/>
  <c r="G21" i="1" s="1"/>
  <c r="H21" i="1" s="1"/>
  <c r="I1117" i="2"/>
  <c r="I1118" i="2" s="1"/>
  <c r="I1021" i="2"/>
  <c r="I1022" i="2" s="1"/>
  <c r="G24" i="1" s="1"/>
  <c r="H24" i="1" s="1"/>
  <c r="H1217" i="2"/>
  <c r="I1217" i="2" s="1"/>
  <c r="I1052" i="2"/>
  <c r="H1353" i="2"/>
  <c r="I1353" i="2" s="1"/>
  <c r="I1053" i="2"/>
  <c r="I554" i="2"/>
  <c r="I555" i="2"/>
  <c r="I488" i="2"/>
  <c r="I489" i="2"/>
  <c r="I716" i="2"/>
  <c r="I717" i="2"/>
  <c r="I718" i="2" s="1"/>
  <c r="I719" i="2" s="1"/>
  <c r="I122" i="2"/>
  <c r="I123" i="2" s="1"/>
  <c r="I124" i="2" s="1"/>
  <c r="I125" i="2" s="1"/>
  <c r="I1150" i="2"/>
  <c r="I1151" i="2" s="1"/>
  <c r="I1152" i="2" s="1"/>
  <c r="I584" i="2"/>
  <c r="I585" i="2" s="1"/>
  <c r="I844" i="2"/>
  <c r="I845" i="2" s="1"/>
  <c r="I846" i="2" s="1"/>
  <c r="I379" i="2"/>
  <c r="I748" i="2"/>
  <c r="I749" i="2" s="1"/>
  <c r="I750" i="2" s="1"/>
  <c r="I751" i="2" s="1"/>
  <c r="I1255" i="2"/>
  <c r="I1256" i="2" s="1"/>
  <c r="I1257" i="2" s="1"/>
  <c r="I1258" i="2" s="1"/>
  <c r="I518" i="2"/>
  <c r="I519" i="2" s="1"/>
  <c r="I78" i="2"/>
  <c r="I89" i="2" s="1"/>
  <c r="I90" i="2" s="1"/>
  <c r="I1314" i="2"/>
  <c r="I422" i="2"/>
  <c r="I423" i="2" s="1"/>
  <c r="I1603" i="2"/>
  <c r="I187" i="2"/>
  <c r="I188" i="2" s="1"/>
  <c r="I189" i="2" s="1"/>
  <c r="I190" i="2" s="1"/>
  <c r="I1360" i="2"/>
  <c r="I1361" i="2" s="1"/>
  <c r="I1390" i="2"/>
  <c r="I1391" i="2" s="1"/>
  <c r="I1392" i="2" s="1"/>
  <c r="I1393" i="2" s="1"/>
  <c r="I1078" i="2"/>
  <c r="I1079" i="2" s="1"/>
  <c r="I1080" i="2" s="1"/>
  <c r="I1081" i="2" s="1"/>
  <c r="I934" i="2"/>
  <c r="I935" i="2" s="1"/>
  <c r="I936" i="2" s="1"/>
  <c r="I937" i="2" s="1"/>
  <c r="I389" i="2"/>
  <c r="I684" i="2"/>
  <c r="I685" i="2" s="1"/>
  <c r="I686" i="2" s="1"/>
  <c r="I687" i="2" s="1"/>
  <c r="I873" i="2"/>
  <c r="I874" i="2" s="1"/>
  <c r="I520" i="2"/>
  <c r="I521" i="2" s="1"/>
  <c r="I1224" i="2"/>
  <c r="I1225" i="2" s="1"/>
  <c r="I289" i="2"/>
  <c r="I290" i="2" s="1"/>
  <c r="I291" i="2" s="1"/>
  <c r="I1617" i="2"/>
  <c r="I1618" i="2" s="1"/>
  <c r="I1619" i="2" s="1"/>
  <c r="I1620" i="2" s="1"/>
  <c r="I1621" i="2" s="1"/>
  <c r="I1622" i="2" s="1"/>
  <c r="G62" i="1" s="1"/>
  <c r="H62" i="1" s="1"/>
  <c r="I1431" i="2"/>
  <c r="I1432" i="2" s="1"/>
  <c r="I1433" i="2" s="1"/>
  <c r="I1434" i="2" s="1"/>
  <c r="I875" i="2"/>
  <c r="I876" i="2" s="1"/>
  <c r="I641" i="2"/>
  <c r="I652" i="2" s="1"/>
  <c r="I653" i="2" s="1"/>
  <c r="I324" i="2"/>
  <c r="I325" i="2" s="1"/>
  <c r="I326" i="2" s="1"/>
  <c r="I785" i="2" l="1"/>
  <c r="I786" i="2" s="1"/>
  <c r="G45" i="10" s="1"/>
  <c r="H45" i="10" s="1"/>
  <c r="I360" i="2"/>
  <c r="I361" i="2"/>
  <c r="I1325" i="2"/>
  <c r="I1326" i="2" s="1"/>
  <c r="I390" i="2"/>
  <c r="I688" i="2"/>
  <c r="I689" i="2" s="1"/>
  <c r="G41" i="10" s="1"/>
  <c r="H41" i="10" s="1"/>
  <c r="I91" i="2"/>
  <c r="I92" i="2" s="1"/>
  <c r="G57" i="1"/>
  <c r="H57" i="1" s="1"/>
  <c r="G70" i="1"/>
  <c r="H70" i="1" s="1"/>
  <c r="G32" i="1"/>
  <c r="H32" i="1" s="1"/>
  <c r="I938" i="2"/>
  <c r="I939" i="2" s="1"/>
  <c r="G54" i="10" s="1"/>
  <c r="H54" i="10" s="1"/>
  <c r="I1082" i="2"/>
  <c r="I1083" i="2" s="1"/>
  <c r="I752" i="2"/>
  <c r="I753" i="2" s="1"/>
  <c r="G43" i="10" s="1"/>
  <c r="H43" i="10" s="1"/>
  <c r="I720" i="2"/>
  <c r="I721" i="2" s="1"/>
  <c r="G42" i="10" s="1"/>
  <c r="H42" i="10" s="1"/>
  <c r="G50" i="1"/>
  <c r="H50" i="1" s="1"/>
  <c r="G40" i="10"/>
  <c r="H40" i="10" s="1"/>
  <c r="G24" i="10"/>
  <c r="H24" i="10" s="1"/>
  <c r="G25" i="1"/>
  <c r="G18" i="10"/>
  <c r="H18" i="10" s="1"/>
  <c r="G18" i="1"/>
  <c r="H18" i="1" s="1"/>
  <c r="I522" i="2"/>
  <c r="I523" i="2" s="1"/>
  <c r="H1351" i="2"/>
  <c r="I1351" i="2" s="1"/>
  <c r="I1394" i="2"/>
  <c r="I1395" i="2" s="1"/>
  <c r="I424" i="2"/>
  <c r="I425" i="2" s="1"/>
  <c r="H1216" i="2"/>
  <c r="I1216" i="2" s="1"/>
  <c r="I1259" i="2"/>
  <c r="I1260" i="2" s="1"/>
  <c r="I391" i="2"/>
  <c r="H1457" i="2"/>
  <c r="I1457" i="2" s="1"/>
  <c r="I1458" i="2" s="1"/>
  <c r="I1466" i="2" s="1"/>
  <c r="I1467" i="2" s="1"/>
  <c r="I586" i="2"/>
  <c r="I587" i="2" s="1"/>
  <c r="G35" i="10" s="1"/>
  <c r="I126" i="2"/>
  <c r="I127" i="2" s="1"/>
  <c r="G21" i="10" s="1"/>
  <c r="H21" i="10" s="1"/>
  <c r="G28" i="10"/>
  <c r="H28" i="10" s="1"/>
  <c r="G46" i="10"/>
  <c r="H46" i="10" s="1"/>
  <c r="G44" i="10"/>
  <c r="H44" i="10" s="1"/>
  <c r="G32" i="10"/>
  <c r="G56" i="10"/>
  <c r="H56" i="10" s="1"/>
  <c r="G34" i="10"/>
  <c r="H34" i="10" s="1"/>
  <c r="G51" i="1"/>
  <c r="H51" i="1" s="1"/>
  <c r="G72" i="1"/>
  <c r="H72" i="1" s="1"/>
  <c r="G26" i="1"/>
  <c r="H26" i="1" s="1"/>
  <c r="G28" i="1"/>
  <c r="H28" i="1" s="1"/>
  <c r="G53" i="1"/>
  <c r="H53" i="1" s="1"/>
  <c r="G67" i="1"/>
  <c r="H67" i="1" s="1"/>
  <c r="G55" i="1"/>
  <c r="H55" i="1" s="1"/>
  <c r="G66" i="1"/>
  <c r="H66" i="1" s="1"/>
  <c r="G30" i="1"/>
  <c r="H30" i="1" s="1"/>
  <c r="G38" i="1"/>
  <c r="H38" i="1" s="1"/>
  <c r="G76" i="1"/>
  <c r="H76" i="1" s="1"/>
  <c r="G48" i="1"/>
  <c r="H48" i="1" s="1"/>
  <c r="G63" i="1"/>
  <c r="H63" i="1" s="1"/>
  <c r="G23" i="1"/>
  <c r="H23" i="1" s="1"/>
  <c r="G36" i="10"/>
  <c r="H36" i="10" s="1"/>
  <c r="G57" i="10"/>
  <c r="H57" i="10" s="1"/>
  <c r="G17" i="10"/>
  <c r="H17" i="10" s="1"/>
  <c r="G17" i="1"/>
  <c r="H17" i="1" s="1"/>
  <c r="I327" i="2"/>
  <c r="I328" i="2" s="1"/>
  <c r="G27" i="10" s="1"/>
  <c r="H27" i="10" s="1"/>
  <c r="I877" i="2"/>
  <c r="I878" i="2" s="1"/>
  <c r="G50" i="10" s="1"/>
  <c r="H50" i="10" s="1"/>
  <c r="I455" i="2"/>
  <c r="I456" i="2" s="1"/>
  <c r="I191" i="2"/>
  <c r="I192" i="2" s="1"/>
  <c r="I654" i="2"/>
  <c r="I655" i="2" s="1"/>
  <c r="H1354" i="2"/>
  <c r="I1354" i="2" s="1"/>
  <c r="H1215" i="2"/>
  <c r="I1215" i="2" s="1"/>
  <c r="I1219" i="2" s="1"/>
  <c r="I1435" i="2"/>
  <c r="I1436" i="2" s="1"/>
  <c r="G36" i="1" s="1"/>
  <c r="H36" i="1" s="1"/>
  <c r="I292" i="2"/>
  <c r="I293" i="2" s="1"/>
  <c r="G26" i="10" s="1"/>
  <c r="H26" i="10" s="1"/>
  <c r="I1327" i="2"/>
  <c r="I1328" i="2" s="1"/>
  <c r="I847" i="2"/>
  <c r="I848" i="2" s="1"/>
  <c r="G49" i="10" s="1"/>
  <c r="H49" i="10" s="1"/>
  <c r="I1153" i="2"/>
  <c r="I1154" i="2" s="1"/>
  <c r="I1226" i="2"/>
  <c r="I1227" i="2" s="1"/>
  <c r="G55" i="10" l="1"/>
  <c r="H55" i="10" s="1"/>
  <c r="G33" i="10"/>
  <c r="G19" i="10"/>
  <c r="H19" i="10" s="1"/>
  <c r="G19" i="1"/>
  <c r="H19" i="1" s="1"/>
  <c r="G23" i="10"/>
  <c r="H23" i="10" s="1"/>
  <c r="G39" i="10"/>
  <c r="H39" i="10" s="1"/>
  <c r="G56" i="1"/>
  <c r="H56" i="1" s="1"/>
  <c r="G69" i="1"/>
  <c r="H69" i="1" s="1"/>
  <c r="G31" i="1"/>
  <c r="H31" i="1" s="1"/>
  <c r="G74" i="1"/>
  <c r="H74" i="1" s="1"/>
  <c r="G59" i="1"/>
  <c r="H59" i="1" s="1"/>
  <c r="G34" i="1"/>
  <c r="H34" i="1" s="1"/>
  <c r="G37" i="10"/>
  <c r="H37" i="10" s="1"/>
  <c r="G58" i="10"/>
  <c r="H58" i="10" s="1"/>
  <c r="G30" i="10"/>
  <c r="G51" i="10"/>
  <c r="H51" i="10" s="1"/>
  <c r="G27" i="1"/>
  <c r="H27" i="1" s="1"/>
  <c r="G73" i="1"/>
  <c r="H73" i="1" s="1"/>
  <c r="G54" i="1"/>
  <c r="H54" i="1" s="1"/>
  <c r="G68" i="1"/>
  <c r="H68" i="1" s="1"/>
  <c r="G29" i="1"/>
  <c r="H29" i="1" s="1"/>
  <c r="G52" i="1"/>
  <c r="H52" i="1" s="1"/>
  <c r="G52" i="10"/>
  <c r="H52" i="10" s="1"/>
  <c r="G31" i="10"/>
  <c r="G45" i="1"/>
  <c r="H45" i="1" s="1"/>
  <c r="H35" i="10"/>
  <c r="I392" i="2"/>
  <c r="H1350" i="2"/>
  <c r="I1350" i="2" s="1"/>
  <c r="I1355" i="2" s="1"/>
  <c r="I1362" i="2" s="1"/>
  <c r="I1363" i="2" s="1"/>
  <c r="I393" i="2"/>
  <c r="G40" i="1"/>
  <c r="H40" i="1" s="1"/>
  <c r="H25" i="1"/>
  <c r="H16" i="10"/>
  <c r="I1228" i="2"/>
  <c r="I1229" i="2" s="1"/>
  <c r="G46" i="1"/>
  <c r="H46" i="1" s="1"/>
  <c r="H32" i="10"/>
  <c r="I1468" i="2"/>
  <c r="I1469" i="2" s="1"/>
  <c r="H16" i="1"/>
  <c r="I1364" i="2" l="1"/>
  <c r="I1365" i="2" s="1"/>
  <c r="G43" i="1"/>
  <c r="H43" i="1" s="1"/>
  <c r="H31" i="10"/>
  <c r="G37" i="1"/>
  <c r="H37" i="1" s="1"/>
  <c r="G77" i="1"/>
  <c r="H77" i="1" s="1"/>
  <c r="G58" i="1"/>
  <c r="H58" i="1" s="1"/>
  <c r="G33" i="1"/>
  <c r="H33" i="1" s="1"/>
  <c r="G71" i="1"/>
  <c r="H71" i="1" s="1"/>
  <c r="G29" i="10"/>
  <c r="H29" i="10" s="1"/>
  <c r="G48" i="10"/>
  <c r="H48" i="10" s="1"/>
  <c r="H38" i="10" s="1"/>
  <c r="C24" i="13" s="1"/>
  <c r="G42" i="1"/>
  <c r="H42" i="1" s="1"/>
  <c r="H30" i="10"/>
  <c r="G44" i="1"/>
  <c r="H44" i="1" s="1"/>
  <c r="H33" i="10"/>
  <c r="H22" i="10" s="1"/>
  <c r="H39" i="1" l="1"/>
  <c r="C20" i="13" s="1"/>
  <c r="C21" i="13" s="1"/>
  <c r="C16" i="13"/>
  <c r="C12" i="13"/>
  <c r="H11" i="10"/>
  <c r="C30" i="13" s="1"/>
  <c r="G60" i="1"/>
  <c r="H60" i="1" s="1"/>
  <c r="G75" i="1"/>
  <c r="H75" i="1" s="1"/>
  <c r="H61" i="1" s="1"/>
  <c r="C25" i="13" s="1"/>
  <c r="C26" i="13" s="1"/>
  <c r="G35" i="1"/>
  <c r="H35" i="1" s="1"/>
  <c r="H47" i="1"/>
  <c r="C17" i="13" s="1"/>
  <c r="H22" i="1"/>
  <c r="C18" i="13" l="1"/>
  <c r="C13" i="13"/>
  <c r="H11" i="1"/>
  <c r="C31" i="13" s="1"/>
  <c r="C14" i="13"/>
</calcChain>
</file>

<file path=xl/sharedStrings.xml><?xml version="1.0" encoding="utf-8"?>
<sst xmlns="http://schemas.openxmlformats.org/spreadsheetml/2006/main" count="4041" uniqueCount="676">
  <si>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</si>
  <si>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</si>
  <si>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</si>
  <si>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</si>
  <si>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</si>
  <si>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</si>
  <si>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</si>
  <si>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</si>
  <si>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UNITÁRIO</t>
  </si>
  <si>
    <t>TOTAL</t>
  </si>
  <si>
    <t>Serviços Preliminares</t>
  </si>
  <si>
    <t>1.1</t>
  </si>
  <si>
    <t>Mobilização de Equipamentos, Materiais e Pessoal.</t>
  </si>
  <si>
    <t>unid.</t>
  </si>
  <si>
    <t>1.2</t>
  </si>
  <si>
    <t>Desmobilização de Equipamentos, Materiais e Pessoal.</t>
  </si>
  <si>
    <t>1.3</t>
  </si>
  <si>
    <t>Fornecimento, montagem e conservação de placa de identificação de obra padrão CODEVASF (3m x 2m).</t>
  </si>
  <si>
    <t>1.4</t>
  </si>
  <si>
    <t>mês</t>
  </si>
  <si>
    <t>1.5</t>
  </si>
  <si>
    <t>2.1</t>
  </si>
  <si>
    <t>Locação, acompanhamento da perfuração e da instalação do poço, por profissional habilitado.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</si>
  <si>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</si>
  <si>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</si>
  <si>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</si>
  <si>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</si>
  <si>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</si>
  <si>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</si>
  <si>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</si>
  <si>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</si>
  <si>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Cimentação anelar do poço, com argamassa de cimento e areia produzida no traço 1:3.</t>
  </si>
  <si>
    <t>m³</t>
  </si>
  <si>
    <t>2.9</t>
  </si>
  <si>
    <t>3.1</t>
  </si>
  <si>
    <t>3.2</t>
  </si>
  <si>
    <t>3.3</t>
  </si>
  <si>
    <t>3.4</t>
  </si>
  <si>
    <t>3.5</t>
  </si>
  <si>
    <t>4.1</t>
  </si>
  <si>
    <t>4.2</t>
  </si>
  <si>
    <t>Escavação manual de vala de fundação em material de 1 ª categoria, com dimensões de 0,40 m x 0,30 m, incluindo regularização manual do fundo da vala.</t>
  </si>
  <si>
    <t>4.3</t>
  </si>
  <si>
    <t>Aterro manual de valas de fundação com até 0,40m de profundidade.</t>
  </si>
  <si>
    <t>4.4</t>
  </si>
  <si>
    <t xml:space="preserve">Escavação manual de vala para instalação de tubulação de adutora em material de 1ª categoria, com dimensões de 0,40m x 0,30m, incluindo regularização manual do fundo de vala.  </t>
  </si>
  <si>
    <t>4.5</t>
  </si>
  <si>
    <t>Aterro manual de valas até 0,40m de profundidade.</t>
  </si>
  <si>
    <t>4.6</t>
  </si>
  <si>
    <t>4.7</t>
  </si>
  <si>
    <t>4.8</t>
  </si>
  <si>
    <t>4.9</t>
  </si>
  <si>
    <t>4.10</t>
  </si>
  <si>
    <t>4.11</t>
  </si>
  <si>
    <t>4.12</t>
  </si>
  <si>
    <t>CODEVASF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</si>
  <si>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</si>
  <si>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</si>
  <si>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</si>
  <si>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</si>
  <si>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</si>
  <si>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</si>
  <si>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</si>
  <si>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</si>
  <si>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</si>
  <si>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</si>
  <si>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</si>
  <si>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</si>
  <si>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</si>
  <si>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</si>
  <si>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</si>
  <si>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</si>
  <si>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</si>
  <si>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Passagem de Pessoal</t>
  </si>
  <si>
    <t>MÃO DE OBRA</t>
  </si>
  <si>
    <t>Servente</t>
  </si>
  <si>
    <t>PRODUÇÃO DA EQUIPE</t>
  </si>
  <si>
    <t xml:space="preserve">CUSTO </t>
  </si>
  <si>
    <t>TOTAL DO SERVIÇO - R$</t>
  </si>
  <si>
    <t>SERVIÇO : Desmobilização de equipamentos e Pessoal.</t>
  </si>
  <si>
    <t>EPI's - Capacete</t>
  </si>
  <si>
    <t>EPI's - Botas</t>
  </si>
  <si>
    <t>EPI's - Luva de vaqueta</t>
  </si>
  <si>
    <t>EPI's - Protetor auricular</t>
  </si>
  <si>
    <t>Técnico</t>
  </si>
  <si>
    <t>m²</t>
  </si>
  <si>
    <t>Estrutura de madeira mista medindo 7,5 cm x 7,5 cm.</t>
  </si>
  <si>
    <t>Prego 18x30.</t>
  </si>
  <si>
    <t>kg</t>
  </si>
  <si>
    <t>Sarrafo de madeira mista para intertravametno medindo 4 cm x 5 cm.</t>
  </si>
  <si>
    <t>Placa de identificação da obra, conforme lay-aut normatizado</t>
  </si>
  <si>
    <t>Carpinteiro</t>
  </si>
  <si>
    <t>SERVIÇO : Destocamento e Limpeza do terreno - limpeza e raspagem manual</t>
  </si>
  <si>
    <t>SERVIÇO : Locação e acompanhamento da perfuração, teste de vazão e instalação de poço.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</si>
  <si>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</si>
  <si>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</si>
  <si>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</si>
  <si>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</si>
  <si>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</si>
  <si>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</si>
  <si>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</si>
  <si>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</si>
  <si>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SERVIÇO : Perfuração em 8" (decomposto).</t>
  </si>
  <si>
    <t>Compressor</t>
  </si>
  <si>
    <t>Óleo Lubrificante</t>
  </si>
  <si>
    <t>Graxa grafitada</t>
  </si>
  <si>
    <t>Operador de perfuratriz</t>
  </si>
  <si>
    <t>SERVIÇO : Perfuração em 6" (Cristalino).</t>
  </si>
  <si>
    <t>Lubrificante.</t>
  </si>
  <si>
    <t>Cap. Foi utilizado o item 26048 do Sinapi pois não encontramos de ferro fundido.</t>
  </si>
  <si>
    <t>Óleo Lubrificante.</t>
  </si>
  <si>
    <t>Operador de Compressor.</t>
  </si>
  <si>
    <t>Veículo popular.</t>
  </si>
  <si>
    <t>Análise físico-químico e bacteriológica da água.</t>
  </si>
  <si>
    <t>SERVIÇO : Escavação manual de solo de 1ª e 2ª categoria com profundidade de até 1,50m.</t>
  </si>
  <si>
    <t>SERVIÇO : Aterro de vala e cavas de fundação com avaliação visual da compactação.</t>
  </si>
  <si>
    <t>Compactador de solo com placa vibratória.</t>
  </si>
  <si>
    <t>Pasta lubrificante</t>
  </si>
  <si>
    <t>Tubo de PVC azul, diâmetro de 50mm.</t>
  </si>
  <si>
    <t>Este código foi o senhor que adotou.</t>
  </si>
  <si>
    <t>Transporte de Tubo PVC DN 50mm.</t>
  </si>
  <si>
    <t>Encanador</t>
  </si>
  <si>
    <t>SERVIÇO : Assentamento de tubo e conexções de PVC JS DN 32mm.</t>
  </si>
  <si>
    <t>Pasta de limpeza.</t>
  </si>
  <si>
    <t>Tubo de PVC soldavel marom, diâmetro de 32mm.</t>
  </si>
  <si>
    <t>Transporte de Tubo PVC DN 32mm.</t>
  </si>
  <si>
    <t>Cola de PVC</t>
  </si>
  <si>
    <t>SERVIÇO : Argamassa de cimento e areia 1:3, preparo mecanico.</t>
  </si>
  <si>
    <t>Betoneira com capacidade de 400l. Motor Diesel de 7 HP.</t>
  </si>
  <si>
    <t>Cimento Portland CP I - 32.</t>
  </si>
  <si>
    <t>Areira Lavavel.</t>
  </si>
  <si>
    <t>pedreiro</t>
  </si>
  <si>
    <t>Registro pvc esfera soldável 2"</t>
  </si>
  <si>
    <t>Curva galvanizada  2".</t>
  </si>
  <si>
    <t xml:space="preserve">Adaptador </t>
  </si>
  <si>
    <t>Luva ferro galv. 2"</t>
  </si>
  <si>
    <t>Fita isolante alto-fusão</t>
  </si>
  <si>
    <t>Fita veda rosca</t>
  </si>
  <si>
    <t>eletroduto de PVC rigido de 3/4".</t>
  </si>
  <si>
    <t>Talha manual para 1,5 ton.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</si>
  <si>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</si>
  <si>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</si>
  <si>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</si>
  <si>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</si>
  <si>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</si>
  <si>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Mourão de concreto para escora 10 x 10 cm, fipo esticador, fabricado em concreto armado e vibrado, L = 2,80 +/- 0,06m.</t>
  </si>
  <si>
    <t>Mourão de concreto tipo intermediário, ponta virada em 45º, seção T, com 51 furo, fabricado em concreto armado vibrado, L = 2,80 +/- 0,06m.</t>
  </si>
  <si>
    <t>Arame farpado galvanizado, classe 250 - 16 BWG - 2,10mm.</t>
  </si>
  <si>
    <t>Arame galvanizado fio 16 BWG - 1,65m (0,01666 kg/m).</t>
  </si>
  <si>
    <t>Areia</t>
  </si>
  <si>
    <t>Cimento.</t>
  </si>
  <si>
    <t>Brita 1.</t>
  </si>
  <si>
    <t>Pedreiro</t>
  </si>
  <si>
    <t>Pontalete de 8 x 8 cm - em madeira mista.</t>
  </si>
  <si>
    <t>Tabua de madeira mista de 30 x 2,5cm</t>
  </si>
  <si>
    <t>Arame recozido.</t>
  </si>
  <si>
    <t>Cal Hidratada</t>
  </si>
  <si>
    <t>Bloco de tijolo cerâmico furado.</t>
  </si>
  <si>
    <t>Areia média</t>
  </si>
  <si>
    <t>Torneira plastica de 1/2".</t>
  </si>
  <si>
    <t>Desmoldante</t>
  </si>
  <si>
    <t>Prego 18 x 30</t>
  </si>
  <si>
    <t>Sarrafo de madeira mista de 10 x 2,5cm.</t>
  </si>
  <si>
    <t>Aço CA-50 A ou B</t>
  </si>
  <si>
    <t>Arame recozido</t>
  </si>
  <si>
    <t>Pedra rachão.</t>
  </si>
  <si>
    <t>Tinta Látex</t>
  </si>
  <si>
    <t>L</t>
  </si>
  <si>
    <t>Laje Pré-moldada para cobertura, inclusive montagem e concreto armado, espessura de 20,0 cm (capeamento de 4cm).</t>
  </si>
  <si>
    <t>Verificar este item foi adotado o item 3743</t>
  </si>
  <si>
    <t>Lixa.</t>
  </si>
  <si>
    <t>Cimento Portland comum CP i - 32.</t>
  </si>
  <si>
    <t>Kg</t>
  </si>
  <si>
    <t>Areia Lavada</t>
  </si>
  <si>
    <t>Brita 1</t>
  </si>
  <si>
    <t>Brita 2</t>
  </si>
  <si>
    <t>Armação de aço CA 50, fornecimento e instalação.</t>
  </si>
  <si>
    <t>Forma plana em tábua em madeira de mista.</t>
  </si>
  <si>
    <t>SERVIÇO : Outorga de poço junto ao CPRH-PE.</t>
  </si>
  <si>
    <t>SERVIÇO : Elaboração de projeto e execução de rede elétrica de baixa tensão, extensão media de 200m, com cabo de aluminio de 25mm² (3+1).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</si>
  <si>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</si>
  <si>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</si>
  <si>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</si>
  <si>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</si>
  <si>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</si>
  <si>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 xml:space="preserve">Alça pré-formada de linha </t>
  </si>
  <si>
    <t>Engenheiro elétrico júnior</t>
  </si>
  <si>
    <t>Cadista.</t>
  </si>
  <si>
    <t>Topografo.</t>
  </si>
  <si>
    <t>Auxiliar de topografia.</t>
  </si>
  <si>
    <t>Eletricista montador.</t>
  </si>
  <si>
    <t>Auxiliar prático</t>
  </si>
  <si>
    <t>Servente.</t>
  </si>
  <si>
    <t>SERVIÇO : Fornecimento, montagem e instalação de poço tubular com catavento de base triangular, diametro da tubulação de 2", profundidade da injetora entre 40m e 56m - Inclusive  fixação da torre sobre base de concreto no traço 1:2:3.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</si>
  <si>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</si>
  <si>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</si>
  <si>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Cotação.</t>
  </si>
  <si>
    <t>Auxiliar Prático</t>
  </si>
  <si>
    <t xml:space="preserve">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</si>
  <si>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</si>
  <si>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</si>
  <si>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</si>
  <si>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</si>
  <si>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</si>
  <si>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</si>
  <si>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</si>
  <si>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</si>
  <si>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</si>
  <si>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</si>
  <si>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</si>
  <si>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</si>
  <si>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</si>
  <si>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</si>
  <si>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</si>
  <si>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</si>
  <si>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</si>
  <si>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</si>
  <si>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</si>
  <si>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</si>
  <si>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</si>
  <si>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</si>
  <si>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</si>
  <si>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</si>
  <si>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</si>
  <si>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</si>
  <si>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</si>
  <si>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</si>
  <si>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</si>
  <si>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</si>
  <si>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</si>
  <si>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</si>
  <si>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</si>
  <si>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</si>
  <si>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</si>
  <si>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</si>
  <si>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</si>
  <si>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</si>
  <si>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</si>
  <si>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</si>
  <si>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</si>
  <si>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</si>
  <si>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</si>
  <si>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</si>
  <si>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</si>
  <si>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</si>
  <si>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</si>
  <si>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</si>
  <si>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</si>
  <si>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</si>
  <si>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</si>
  <si>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</si>
  <si>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</si>
  <si>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</si>
  <si>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</si>
  <si>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</si>
  <si>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</si>
  <si>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</si>
  <si>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</si>
  <si>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</si>
  <si>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</si>
  <si>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</si>
  <si>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</si>
  <si>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</si>
  <si>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</si>
  <si>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</si>
  <si>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</si>
  <si>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</si>
  <si>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</si>
  <si>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</si>
  <si>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</si>
  <si>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</si>
  <si>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</si>
  <si>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</si>
  <si>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</si>
  <si>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</si>
  <si>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</si>
  <si>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</si>
  <si>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</si>
  <si>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</si>
  <si>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</si>
  <si>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Tecnico de Campo</t>
  </si>
  <si>
    <t>Óleo diesel comum</t>
  </si>
  <si>
    <t>Prego 18x30</t>
  </si>
  <si>
    <t xml:space="preserve">m </t>
  </si>
  <si>
    <t>Adesivo p tubo PVC pote de 850g</t>
  </si>
  <si>
    <t>Tubo PVC PBA  DN 50mm e conexões</t>
  </si>
  <si>
    <t>Assentamento de tubo soldável p/ agua fria 50mm</t>
  </si>
  <si>
    <t>Cimento Portland CPI-32</t>
  </si>
  <si>
    <t>Areia  Média</t>
  </si>
  <si>
    <t>Areia Grossa</t>
  </si>
  <si>
    <t>Fita isolante Auto-Fusão 3M</t>
  </si>
  <si>
    <t>Fita veda rosca Rolos 18mm x 25m</t>
  </si>
  <si>
    <t>Fita veda rosca Rolos 18mm x 10m</t>
  </si>
  <si>
    <t>Talha manual para 1,5ton</t>
  </si>
  <si>
    <t>Bloco cerâmico(tijolo) furado 9x19x19</t>
  </si>
  <si>
    <t xml:space="preserve">Mourão Concreto T h=2,78 inc. 45º </t>
  </si>
  <si>
    <t>Mourão de concreto para escora, tipo esticador, fabricado em concreto armado e vibrado, L = 2,80 +/- 0,06m.</t>
  </si>
  <si>
    <t>Arame galvanizado fio 16 bwg - 1,65m (0,01666 kg/m).</t>
  </si>
  <si>
    <t>Arame farpado galvanizado  16bwg</t>
  </si>
  <si>
    <t>0034</t>
  </si>
  <si>
    <t>Aço CA-50  3/8" ( 9,52mm ).</t>
  </si>
  <si>
    <t>Pedra britada nº2</t>
  </si>
  <si>
    <t>tinta látex</t>
  </si>
  <si>
    <t>Pontalete de madeira mista 8 x 8cm</t>
  </si>
  <si>
    <t>Porta de ferro tipo TP chapa com guarnição 80 x 2,10cm.</t>
  </si>
  <si>
    <t>Dobradiças</t>
  </si>
  <si>
    <t>Fechadura</t>
  </si>
  <si>
    <t>Pasta Lubrificante 500g</t>
  </si>
  <si>
    <t>Compactador manual de solos, motor a gasolina potência mínima de 4HP - sapo tipo F.</t>
  </si>
  <si>
    <t>Veículo comercial leve Cap. Carga até 700kg, Gasolina</t>
  </si>
  <si>
    <t>Operador de Compressor</t>
  </si>
  <si>
    <t>Peça de madeira mista 7,5 x 7,5 cm</t>
  </si>
  <si>
    <t>Placa de identificação de obras, conforme Lay-out normatizado Chapa 22</t>
  </si>
  <si>
    <t>foi utilizado o item 0319 p/ tubo defofo Sinapi</t>
  </si>
  <si>
    <t>00001143</t>
  </si>
  <si>
    <t>00001158</t>
  </si>
  <si>
    <t>Camionete Carga até 1,2T c/ motor Diesel.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</si>
  <si>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</si>
  <si>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</si>
  <si>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</si>
  <si>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</si>
  <si>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EPI's Capacete</t>
  </si>
  <si>
    <t>EPI's e Bota</t>
  </si>
  <si>
    <t>EPI's Luva de vaqueta</t>
  </si>
  <si>
    <t>EPI's Protetor auricular</t>
  </si>
  <si>
    <t>Grampo - Conector p/ haste 19mm</t>
  </si>
  <si>
    <t>Cabo cobre isolante anti-chama 4mm</t>
  </si>
  <si>
    <t>COTAÇÃO  -  SAAE</t>
  </si>
  <si>
    <t>Transporte de placa</t>
  </si>
  <si>
    <t xml:space="preserve">CODEVASF </t>
  </si>
  <si>
    <t xml:space="preserve">Curva pvc eletroduto de 180º </t>
  </si>
  <si>
    <t>CPRH</t>
  </si>
  <si>
    <t>Curva galvanizada macho 2"</t>
  </si>
  <si>
    <t>Cotação</t>
  </si>
  <si>
    <t>Graxa</t>
  </si>
  <si>
    <t>Graxa DMA</t>
  </si>
  <si>
    <t>Transporte de tubos de PVC 50mm</t>
  </si>
  <si>
    <t>Válvula de retenção vertical de 2" em broze com rosca.</t>
  </si>
  <si>
    <t>Armação secundaria, 1 estribo, com haste de diâmetro de 16mm por 150 mm de comprimento</t>
  </si>
  <si>
    <t>Compactador de solo com placa vibratória</t>
  </si>
  <si>
    <t>2.10</t>
  </si>
  <si>
    <t/>
  </si>
  <si>
    <t>cod 10404</t>
  </si>
  <si>
    <t>Laje Pre-moldada, inclusive escoramento em concreto armado, espessura de 4,0 cm.</t>
  </si>
  <si>
    <t>OBRA: Perfuração e Instalação de Poços Tubulares.</t>
  </si>
  <si>
    <t>SERVIÇO: Mobilização de equipamentos e Pessoal.</t>
  </si>
  <si>
    <t xml:space="preserve">BDI          </t>
  </si>
  <si>
    <t xml:space="preserve">SUB-TOTAL </t>
  </si>
  <si>
    <t>SERVIÇO : Fornecimento e Assentamento de tubo e conexções de PVC JE DN 50mm.</t>
  </si>
  <si>
    <t xml:space="preserve">Pick-up leve, à gasol. / 700 Kg </t>
  </si>
  <si>
    <t>SERVIÇO: Fornecimento, montagem e instalação de poço tubular com conjunto de motor-bomba submersa e peças, diâmetro da tubulação até 2", profundidade da bomba entre 40m e 56m - Inclusive rede elétrica do padrão à bomba.</t>
  </si>
  <si>
    <t>73948/ 16</t>
  </si>
  <si>
    <t>74163/1</t>
  </si>
  <si>
    <t>Sinapi - 75492</t>
  </si>
  <si>
    <t>73965/015 sinapi</t>
  </si>
  <si>
    <t>73965/015</t>
  </si>
  <si>
    <t>74015/001</t>
  </si>
  <si>
    <t>75030/002</t>
  </si>
  <si>
    <t>74143/002</t>
  </si>
  <si>
    <t>Prego de aço 18 x 30</t>
  </si>
  <si>
    <t>Desmoldante para forma de madeira</t>
  </si>
  <si>
    <t>Caminhão truck para 13 toneladas</t>
  </si>
  <si>
    <t>Limpeza do terreno - Raspagem e limpeza manual com destocamento (área de bebedouro e do reservatório).</t>
  </si>
  <si>
    <t>SERVIÇO: Realização de desinfecção do poço.</t>
  </si>
  <si>
    <t>Sabão neutro</t>
  </si>
  <si>
    <t>Fornecimento de Veículo 4x4 à fiscalização com seguro, taxas de licenciamento, revisão periódica, manutenção, combustível e pneus.</t>
  </si>
  <si>
    <t>Veículo comercial leve 1.6 flex</t>
  </si>
  <si>
    <t>Comunidades dispersas na Zona Rural de diversos Municípios do Sertão Pernambucano situados na área de atuação da CODEVASF 3ª Superintendência Regional.</t>
  </si>
  <si>
    <t>Local:</t>
  </si>
  <si>
    <t>Data:</t>
  </si>
  <si>
    <t>Valor do Contrato (R$):</t>
  </si>
  <si>
    <t>Administração local da obra.</t>
  </si>
  <si>
    <t>Limpeza do terreno - Raspagem e limpeza manual do terreno com destocamento de arvore até 15cm.</t>
  </si>
  <si>
    <t>Tubo PVC soldável para agua 32mm</t>
  </si>
  <si>
    <t>Fornecimento e assentamento de tubos em PVC, marrom, diâmetros de 32mm soldável.</t>
  </si>
  <si>
    <t>Poços</t>
  </si>
  <si>
    <t>Sedimentar</t>
  </si>
  <si>
    <t>Cristalino</t>
  </si>
  <si>
    <t>Perfuração de Poço em rocha sedimentar com diâmetro de 16".</t>
  </si>
  <si>
    <t>Perfuração de Poço em rocha sedimentar com diâmetro de 12 1/4".</t>
  </si>
  <si>
    <t>Realização de Perfilagem geofísica do poço em conformidade com a NBR 12244.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</si>
  <si>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</si>
  <si>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</si>
  <si>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</si>
  <si>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</si>
  <si>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</si>
  <si>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</si>
  <si>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</si>
  <si>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</si>
  <si>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</si>
  <si>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</si>
  <si>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</si>
  <si>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</si>
  <si>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</si>
  <si>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</si>
  <si>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</si>
  <si>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</si>
  <si>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</si>
  <si>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un</t>
  </si>
  <si>
    <t>Aterro manual e/ou mecanizado de valas de adutora até 0,50m de profundidade.</t>
  </si>
  <si>
    <t>Fornecimento, montagem e instalação de portão de ferro tubular, tela em aço galvanizado, dobradiças e fechadura para passagem de pedestre, medindo 1,80m x 1,10m, incluindo mourão de sustentação.</t>
  </si>
  <si>
    <t>Aterro manual e/ou mecanizado de valas de adutora com até 0,50m de profundidade.</t>
  </si>
  <si>
    <t>OBRA: Perfuração e Instalação de Poços Tubulares e Sedimentares.</t>
  </si>
  <si>
    <t>SERVIÇO : Locação de rede de adutora para interligação de poço a reservatorio e deste ao bebedouro.</t>
  </si>
  <si>
    <t>Estação total - TOPCON GTS-212, leitura angular 1 SEG., precisão 6,0 segundos, acompanha 2,0  prismas</t>
  </si>
  <si>
    <t>Nivelador</t>
  </si>
  <si>
    <t>Topografo</t>
  </si>
  <si>
    <t>Topografo auxiliar</t>
  </si>
  <si>
    <t>Nível wild NA-2, precisão mais ou menos 0,70 mm ou similar.</t>
  </si>
  <si>
    <t>Materiais</t>
  </si>
  <si>
    <t>Locação de equipamento para perfuração (Método Geofísico).</t>
  </si>
  <si>
    <t>SERVIÇO : Perfuração de Poço em sedimentar com diâmetro de 16".</t>
  </si>
  <si>
    <t>SERVIÇO: Placa de identificação do serviço - Fornecimento, instalação e manutensão.</t>
  </si>
  <si>
    <t>Óleo Lubrificantes para motores e equipamentos</t>
  </si>
  <si>
    <t>SERVIÇO : Perfuração de Poço em sedimentar com diâmetro 12 1/4".</t>
  </si>
  <si>
    <t>Tubo de 6" de PVC geo-mecânico (STD).</t>
  </si>
  <si>
    <t>Tubo de 6" de PVC geo-mecânico reforçado.</t>
  </si>
  <si>
    <t>SERVIÇO: Fornecimento e instalação de Cap fêmea de ponta de tubo de 6", para impedir contaminação do poco, inclusive anel de vedação e borracha.</t>
  </si>
  <si>
    <t>CAP fêmea de 6".</t>
  </si>
  <si>
    <t>Anel de Borracha de 6".</t>
  </si>
  <si>
    <t>Anel de Borracha para tubo 6"</t>
  </si>
  <si>
    <t>Fornecimento e instalação de Cap fêmea de ponta de tubo de 6", para impedir contaminação do poço, inclusive anel de vedação e borracha.</t>
  </si>
  <si>
    <t>Fornecimento e instalação de Cap PVC geomecânico REF. Em DN 6" para vedação do fundo do filtro, inclusive anel de vedação e borracha.</t>
  </si>
  <si>
    <t>2.11</t>
  </si>
  <si>
    <t>2.12</t>
  </si>
  <si>
    <t>Quadro de comando com chave de partida direta para moteres 1,5CV com fusivel DZ de 20A e acessorios, inclusive voltimetro, amperimetro, sensores de nível, rele falta de fase.</t>
  </si>
  <si>
    <t>SERVIÇO: Fornecimento e instalação de Cap PVC geomecânico REF. Em DN 6" para vedação do fundo do filtro, inclusive anel de vedação e borracha.</t>
  </si>
  <si>
    <t>CAP PVC geomecânico REF. DN 6".</t>
  </si>
  <si>
    <t>Anel de Borracha REF. para tubo 6"</t>
  </si>
  <si>
    <t>Fornecimento, montagem e instalação de poço profundo tubular com diâmetro de 6", incluindo conjunto motor-bomba submersa e peças, diâmetro da tubulação de recalque de até 2", profundidade da bomba entre 40m e 56m, inclusive rede elétrica do quadro de comando à bomba.</t>
  </si>
  <si>
    <t>2.13</t>
  </si>
  <si>
    <t>SERVIÇO : Fornecimento e instalação de Revestimento do Poço em Tubo PVC Geomecânico STD em DN de 6" com luvas e rosca (Para poços de até no máximo 150m de profundidade).</t>
  </si>
  <si>
    <t>Tubo PVC Geomecânico STD em DN de 6"</t>
  </si>
  <si>
    <t>Óleo lubrificante</t>
  </si>
  <si>
    <t>SERVIÇO : Fornecimento e instalação de Revestimento do Poço em Tubo PVC Geomecanico REF. em DN de 6" com luvas e rosca (Para poços de 150m a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</si>
  <si>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</si>
  <si>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</si>
  <si>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</si>
  <si>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Areia para leito filtrante, granulometria de 1,68mm a 0,42mm. </t>
  </si>
  <si>
    <t xml:space="preserve">SERVIÇO: Fornecimento e instalação de Pré-filtro preenchido com material quartzoso previamente lavado, peneirado e selecionado com granulometria variável de 2 - 4 mm em conformidade com NBR 12244. </t>
  </si>
  <si>
    <t>SERVIÇO: Realização de teste de vazão e de bombeamento do poço, incluindo operação e Instalação motor-bomba submersa e grupo gerador eletrico, em conformidade com a NBR 12244.</t>
  </si>
  <si>
    <t xml:space="preserve">SERVIÇO: Realização de desenvolvimento de poço realizado mediante a utilização de compressor de ar pelo método de fluxo e refluxo, inlcuindo operação e a instalação de compresor de ar, em conformidade com a NBR 12244. </t>
  </si>
  <si>
    <t>SERVIÇO: Realização de Perfilagem geofísica do poço em conformidade com a NBR 12244.</t>
  </si>
  <si>
    <t>SERVIÇO: Coleta e análise físico-química e bacteriológica da água (NR 518).</t>
  </si>
  <si>
    <t>Eletricista montador</t>
  </si>
  <si>
    <t>Auxiliar de topografia</t>
  </si>
  <si>
    <t>SERVIÇO : Elaboração de projeto e execução de rede elétrica de baixa tensão, extensão = 250m, segundo padrão CELPE com capacidade de suportar a carga do equipamento instalado. O projeto devera ser aprovado pela CELPE.</t>
  </si>
  <si>
    <t>Quadro de comando com chave de partida direta para moteres 1,5CV com fusivel DZ de 20A e acessorios.</t>
  </si>
  <si>
    <t>Luva pvc com para eletroduto</t>
  </si>
  <si>
    <t>Eletroduto de PVC rigido de 3/4".</t>
  </si>
  <si>
    <t>Talha manual para 1,5 tonelada</t>
  </si>
  <si>
    <t xml:space="preserve">Curva PVC de 180º </t>
  </si>
  <si>
    <t>Joelho pvc com rosca  2"</t>
  </si>
  <si>
    <t>SEINFRA</t>
  </si>
  <si>
    <t>Luva pvc com rosca para agua fria predial 2".</t>
  </si>
  <si>
    <t>Bomba Submersa para Poço Profundo Elétrica Potencia de 1,5CV.</t>
  </si>
  <si>
    <t>Luva pvc com rosca para eletroduto</t>
  </si>
  <si>
    <t>Joelho pvc com rosca 2"</t>
  </si>
  <si>
    <t>Luva ferro galvanizado 2"</t>
  </si>
  <si>
    <t xml:space="preserve">OBRA: </t>
  </si>
  <si>
    <t>Cabo cobre nu, bitola 25 mm².</t>
  </si>
  <si>
    <t>Cartucho de solda exotérmica nº 90.</t>
  </si>
  <si>
    <t>Eletricista ou Oficial Eletricista</t>
  </si>
  <si>
    <t>TOTAL - R$</t>
  </si>
  <si>
    <t xml:space="preserve">BDI               </t>
  </si>
  <si>
    <t xml:space="preserve">Cabo cobre nu, bitola 25 mm² </t>
  </si>
  <si>
    <t>Ajudante</t>
  </si>
  <si>
    <t xml:space="preserve">Ajudante </t>
  </si>
  <si>
    <t>Haste de aterramento com 3,0m DN= 5/8, em aço revestida com baixa camada de cobre.</t>
  </si>
  <si>
    <t>Haste de Aterramento</t>
  </si>
  <si>
    <t>Argamassa preparada com cimento e areia na proporção de 1:3.</t>
  </si>
  <si>
    <t>Bucha e arruela de alumínio fundido para eletroduto 20mm (3/4").</t>
  </si>
  <si>
    <t>cj</t>
  </si>
  <si>
    <t>Bucha e arruela de alumínio fundido para eletroduto 25mm (1").</t>
  </si>
  <si>
    <t>Disjuntor termomagnético monopolar 20A.</t>
  </si>
  <si>
    <t>Disjuntor termomagnético tripolar 50A.</t>
  </si>
  <si>
    <t>Disjuntor monofásico 35A, 2KA (220V).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</si>
  <si>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</si>
  <si>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</si>
  <si>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Pintura de superfície com latex.</t>
  </si>
  <si>
    <t>Lixa para parede ou madeira.</t>
  </si>
  <si>
    <t>Tinta latex PVA.</t>
  </si>
  <si>
    <t>Pintor</t>
  </si>
  <si>
    <t>Escavação manual.</t>
  </si>
  <si>
    <t>Pintura de superfície com tinta grafite.</t>
  </si>
  <si>
    <t>Lixa para ferro</t>
  </si>
  <si>
    <t>Tinta grafite esmalte protetora de superficie metálica.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</si>
  <si>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</si>
  <si>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</si>
  <si>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</si>
  <si>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</si>
  <si>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 xml:space="preserve">SERVIÇO: Realização de limpeza do poço e estimulação do aquifero, realizado mediante a utilização de compressor de ar pelo método de fluxo e refluxo, inlcuindo operação e a instalação de compresor de ar, em conformidade com a NBR 12244. </t>
  </si>
  <si>
    <t>Pedra - de - mão ou pedra rachão.</t>
  </si>
  <si>
    <t>Argamassa cimento e areia preparada no traço 1:3 - preparo mecânico.</t>
  </si>
  <si>
    <t>SERVIÇO: Execução de base sustentação do Reservatorio em alvenaria de pedra argamassada, diâmetro de 2,65m e altura de 1,50m, conforme projeto.</t>
  </si>
  <si>
    <t>Cimento Portland Comum CP I - 32</t>
  </si>
  <si>
    <t>brita 1</t>
  </si>
  <si>
    <t>Tampa de ferro fundido D = 6" para o poço.</t>
  </si>
  <si>
    <t>Locação de rede de adutora para interligação de poço a reservatório e deste ao bebedouro.</t>
  </si>
  <si>
    <t>Sensor sonoro</t>
  </si>
  <si>
    <t>Areia para aterro</t>
  </si>
  <si>
    <t>320 l 5,5HP</t>
  </si>
  <si>
    <t>Betoneira com capacidade de 400l. Motor Diesel de 7 HP</t>
  </si>
  <si>
    <t>Quadro de comando com chave de partida direta para moteres 3CV com fusivel DZ de 20A e acessorios.</t>
  </si>
  <si>
    <t>Bomba Submersa para Poço Profundo Elétrica Potencia de 3CV.</t>
  </si>
  <si>
    <t>Outorga de uso de recursos hídricos obtido no CPRH-PE.</t>
  </si>
  <si>
    <t>em 24/05/2012</t>
  </si>
  <si>
    <t>Hidroman 3251-5259 (31-05-12)</t>
  </si>
  <si>
    <t>Eletroduto PVC 2"</t>
  </si>
  <si>
    <t>Eletroduto PVC com rosca 3/4"</t>
  </si>
  <si>
    <t>Armação secundária, 1 estribo, com haste de diâmetro de 16mm por 150 mm de comprimento</t>
  </si>
  <si>
    <t>Quadro de comando com chave de partida direta para moteres 3CV com fusivel DZ de 20A e acessorios, inclusive voltimetro, amperimetro, sensores de nível, rele falta de fase.</t>
  </si>
  <si>
    <t>SERVIÇO : Desobstrução de poço.</t>
  </si>
  <si>
    <t>Desobstrução de poço.</t>
  </si>
  <si>
    <t>2.14</t>
  </si>
  <si>
    <t>Adaptador pvc soldável com bolça e rosca para registro 2''</t>
  </si>
  <si>
    <t>Argamassa cimento e areia preparada no traço 1:4 para revestimento da alvenaria de pedra - preparo mecânico.</t>
  </si>
  <si>
    <t>Areia para aterro.</t>
  </si>
  <si>
    <t>Armação secundaria, 1 estribo, com haste de diametro de 16mm por 150 mm de comprimento.</t>
  </si>
  <si>
    <t>Alça pré-formada de distribuição.</t>
  </si>
  <si>
    <t>Alça pré-formada de linha .</t>
  </si>
  <si>
    <t>Pedra britada  nº1</t>
  </si>
  <si>
    <t>4.13</t>
  </si>
  <si>
    <t xml:space="preserve">Caixa para medição de energia completo monofásico, inclusive haste de aterramento, condutores, conectores, caixa para disjuntor, bucha, arruela e tubo, padrão CELPE.  </t>
  </si>
  <si>
    <t xml:space="preserve">Caixa para medição de energia completo trifásico, inclusive haste de aterramento, condutores, conectores, caixa para disjuntor, bucha, arruela e tubo, padrão CELPE.  </t>
  </si>
  <si>
    <t>SERVIÇO: Fornecimento e montagem de quadro de medição no padrão CELPE para 3 ou 4 fios, inclusive haste de aterramento, condutores, conectores, eletroduto, caixa para disjuntor, bucha, arruela e tubo.</t>
  </si>
  <si>
    <t xml:space="preserve">Caixa para medição de energia completo monofásico, inclusive haste de aterramento, condutores, conectores, eletroduto, caixa para disjuntor, bucha, arruela e tubo, padrão CELPE. </t>
  </si>
  <si>
    <t>Montagem, instalação e desinstalação de Sonda/perfuratriz.</t>
  </si>
  <si>
    <t>SERVIÇO : Montagem, instalação e desinstalação de Sonda.</t>
  </si>
  <si>
    <t>Fornecimento e montagem de quadro de medição no padrão CELPE para 3 ou 4 fios, inclusive haste de aterramento, condutores, conectores, eletroduto, disjuntor, caixa para disjuntor, bucha e arruela.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</si>
  <si>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</si>
  <si>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Montagem, instalação e desinstalação de sonda.</t>
  </si>
  <si>
    <t>SERVIÇO : Montagem, instalação e desinstalação de sonda.</t>
  </si>
  <si>
    <t>Realização de teste de vazão e de bombeamento do poço, incluindo operação e Instalação motor-bomba submersa e grupo gerador elétrico, em conformidade com a NBR 12244.</t>
  </si>
  <si>
    <t>Elaboração de projeto e execução de rede elétrica de baixa tensão, extensão igual a 250m, segundo padrão CELPE com capacidade de suportar a carga do equipamento instalado. O projeto devera ser aprovado pela CELPE.</t>
  </si>
  <si>
    <t>Bomba Submersa para Poço Profundo Elétrica Monofásica 3CV.</t>
  </si>
  <si>
    <t>Perfuração e Instalação Poços Tubulares, no Estado de Pernambuco.</t>
  </si>
  <si>
    <t>Caminhão trucado c/ carroceria de madeira fixa Cap. 10 a 12T, inclusive manutenção e operação.</t>
  </si>
  <si>
    <t xml:space="preserve">
</t>
  </si>
  <si>
    <t>Estação total - TOPCON GTS-212, leitura angular 1 SEG., precisão 6,0 segundos, acompanha 2,0  prismas.</t>
  </si>
  <si>
    <t>Tampa em concreto armado FCK 15MPA, diâmetro de 2,60m e espessura de 5cm, inclusive forma e ferragens.</t>
  </si>
  <si>
    <t>SERVIÇO : Construção de laje de proteção sanitária em concreto armado aparente pronto Fck 15 Mpa, virado em Betoneira, na obra, incluindo aplicação e adensamento, inclusive forma, escoramento e ferragem.</t>
  </si>
  <si>
    <t>SERVIÇO AUXILIAR: Argamassa cimento e areia preparada no traço 1:4 - preparo mecânico.</t>
  </si>
  <si>
    <t>SERVIÇO AUXILIAR: Pintura de superfície com latex.</t>
  </si>
  <si>
    <t>SERVIÇO AUXILIAR: Pintura de superfície com tinta grafite.</t>
  </si>
  <si>
    <t>Bomba submersa 2" para poço profundo Elétrica Monofásica 1,5CV, saída de 1/ 1/2 marca dancor.</t>
  </si>
  <si>
    <t>Arame galvanizado fio 16 bwg - 4 x 4 23,50 kg Rolo 500m.</t>
  </si>
  <si>
    <t>Tabua de madeira mista de 30 x 2,5cm.</t>
  </si>
  <si>
    <t>Caminhonete utilitária cabine dupla - CD SR 3.0 diesel 4x4 163 CV</t>
  </si>
  <si>
    <t>Geólogo (engenheiro pleno)</t>
  </si>
  <si>
    <t>Geólogo (engenheiro junior)</t>
  </si>
  <si>
    <t>Gasolina Comum</t>
  </si>
  <si>
    <t>Lote 01 - Perfuração de Poços Tubulares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</si>
  <si>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</si>
  <si>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</si>
  <si>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</si>
  <si>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</si>
  <si>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</si>
  <si>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</si>
  <si>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</si>
  <si>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</si>
  <si>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</si>
  <si>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</si>
  <si>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</si>
  <si>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</si>
  <si>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</si>
  <si>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</si>
  <si>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</si>
  <si>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DATA:   Maio/2013</t>
  </si>
  <si>
    <t>2.7</t>
  </si>
  <si>
    <t>2.8</t>
  </si>
  <si>
    <t>2.15</t>
  </si>
  <si>
    <t>Maio/2013</t>
  </si>
  <si>
    <t>Lote 02 - Instalação de Poços Tubulares</t>
  </si>
  <si>
    <t>Poços Sedimentares - Montagem e Instalação.</t>
  </si>
  <si>
    <t>2.16</t>
  </si>
  <si>
    <t>2.17</t>
  </si>
  <si>
    <t>SERVIÇO: Fornecimento e instalação de caixa d'água de fibra de 10m³, sobre base de alvenaria pedra argamassada, incluido barrilhete, tubulação de dreno, lavagem e ladrão.</t>
  </si>
  <si>
    <t>Caixa de água de 10m³.</t>
  </si>
  <si>
    <t>Caixa de água de fibra com capacidade de armazenamento 10m³.</t>
  </si>
  <si>
    <t>Execução de bebedouro em alvenaria de tijolo cerâmico incluindo a instalação hidráulica.</t>
  </si>
  <si>
    <t>SERVIÇO: Execução de bebedouro em alvenaria de tijolo cerâmico incluindo a instalação hidráulica.</t>
  </si>
  <si>
    <t>2.14.A</t>
  </si>
  <si>
    <t>DATA: Maio/2013</t>
  </si>
  <si>
    <t>SERVIÇO : Abrigo de proteção para quadro de comando de bomba.</t>
  </si>
  <si>
    <t>Tubo de PVC EDUTOR AZUL de 2" roscavel conexções e acessorios.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</si>
  <si>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até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</si>
  <si>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Execução de abrigo/casa de comando para quadro de comando da moto bomba.</t>
  </si>
  <si>
    <t>SERVIÇO: Montagem de sistema de aterramento com haste de aterrameto tipo Copperwelder, conetor e cabo de cobre nú combitola de 25 mm² para proteção de sistema eletrico em conformidade com a NBR 5410.</t>
  </si>
  <si>
    <t>2.12.A</t>
  </si>
  <si>
    <t>2.12.B</t>
  </si>
  <si>
    <t>Tubo de PVC soldavel de 32mm com conexões.</t>
  </si>
  <si>
    <t>Torneira plástica de 1/2".</t>
  </si>
  <si>
    <t>Abrigo de proteção para quadro de comando de bomba.</t>
  </si>
  <si>
    <t>Cabo cobre isolante 4mm anti-chama.</t>
  </si>
  <si>
    <t>Hidrômetro 7,0 m³</t>
  </si>
  <si>
    <t>Torneira de boia real 1/2" c/ balão plástico</t>
  </si>
  <si>
    <t>Adaptador PVC roscável c/flanges e anes de vedação p/ caixa d'água 2"</t>
  </si>
  <si>
    <t>Adaptador PVC roscável c/flanges e anes de vedação p/ caixa d'água 1"</t>
  </si>
  <si>
    <t>Poços Cristalinos - Montagem e Instalação com bomba submersa.</t>
  </si>
  <si>
    <t>Cristalino c/ bomba</t>
  </si>
  <si>
    <t>SERVIÇO : Administração local - Perfuração de poços</t>
  </si>
  <si>
    <t>SERVIÇO : Administração local - Instalação de poços</t>
  </si>
  <si>
    <t>Engenheiro Jr</t>
  </si>
  <si>
    <t>Concreto FCK=15MPA (1:2,5:3) ,incluído preparo mecânico, lançamantro e adensamento</t>
  </si>
  <si>
    <t>falta composição auxiliar 73406 SINAPI</t>
  </si>
  <si>
    <t xml:space="preserve">Taxas cartorárias para regularização fundiária                                                                                                                                                          </t>
  </si>
  <si>
    <t>CARTÓRIO</t>
  </si>
  <si>
    <t>TR PIAUÍ</t>
  </si>
  <si>
    <t>SERVIÇO: Cerca em mourões de concreto com fechamento em arame farpado de onze fiadas.</t>
  </si>
  <si>
    <t>Poços Sedimentares profundidade média 180m</t>
  </si>
  <si>
    <t>Perfuração e instalação de Poços Tubulares</t>
  </si>
  <si>
    <t>VALOR UNITÁRIO</t>
  </si>
  <si>
    <t>Instalação de poços cristalinos com bomba submersa</t>
  </si>
  <si>
    <t>Total</t>
  </si>
  <si>
    <t>POÇOS CRISTALINOS</t>
  </si>
  <si>
    <t>Instalação de poços cristalinos com catavento</t>
  </si>
  <si>
    <t>POÇOS SEDIMENTARES</t>
  </si>
  <si>
    <t>Perfuração de poços sedimentares - profundidade média 180,00m</t>
  </si>
  <si>
    <t>Instalação de poços sedimentares com bomba submersa</t>
  </si>
  <si>
    <t>Limpeza de 50 poços existentes</t>
  </si>
  <si>
    <t>RESUMO POR LOTE</t>
  </si>
  <si>
    <t>LOTE</t>
  </si>
  <si>
    <t>Lote 1 - Perfuração de poços tubulares</t>
  </si>
  <si>
    <t>Lote 2 - Instalação de poços tubulares e limpeza e instalação de poços existentes</t>
  </si>
  <si>
    <t>Limpeza de poços existentes</t>
  </si>
  <si>
    <t>Salário  /  1,9252%</t>
  </si>
  <si>
    <t xml:space="preserve">                                   Data Base : Abril/2013</t>
  </si>
  <si>
    <t>Tubo de PVC EDUTOR AZUL de 2" roscavel conexões e acessorios.</t>
  </si>
  <si>
    <t xml:space="preserve">                                   Data Base : Maio/2013</t>
  </si>
  <si>
    <t>horista</t>
  </si>
  <si>
    <t>mensalista</t>
  </si>
  <si>
    <t>Tubo PVC roscável  EB - 892 p/ agua fria predial 1".</t>
  </si>
  <si>
    <t>material</t>
  </si>
  <si>
    <t>PAR</t>
  </si>
  <si>
    <t>par</t>
  </si>
  <si>
    <t>Dados da tabela consultiva da Codevasf</t>
  </si>
  <si>
    <t>Cataventos do Nordeste</t>
  </si>
  <si>
    <t>Não está sendo aplicado</t>
  </si>
  <si>
    <t>Hidroplastic</t>
  </si>
  <si>
    <t>Obtenção junto aos órgãos competente da Outorga de funcionamento e uso de recursos hídricos - CPRH/PE.</t>
  </si>
  <si>
    <t>Leis Sociais : 91,03 % - adotado</t>
  </si>
  <si>
    <t>Escavação manual de vala de fundação em material de 1 ª categoria, com dimensões de 0,40m x 0,30m, incluindo regularização manual do fundo da vala.</t>
  </si>
  <si>
    <t>Execução de base sustentação do reservatório em alvenaria de pedra argamassada, diâmetro de 2,60m e altura de 1,50m, conforme projeto.</t>
  </si>
  <si>
    <t>Montagem de sistema de aterramento com haste de aterramento tipo Copperwelder, conector e cabo de cobre nu com bitola de 25 mm² para proteção de sistema elétrico em conformidade com a NBR 5410.</t>
  </si>
  <si>
    <t>Cristalino c/ cata-vento</t>
  </si>
  <si>
    <t>Fornecimento e assentamento de tubos e conexões em PVC tipo Edutor, azul, Diâmetro Nominal de 50 mm, (interligação do poço a caixa do reservatório).</t>
  </si>
  <si>
    <t>Fornecimento e instalação de caixa d'água de fibra de 10m³, sobre base de alvenaria pedra argamassada, incluído barrilete, tubulação de dreno, lavagem e ladrão.</t>
  </si>
  <si>
    <t>Fornecimento e montagem de cerca de proteção construída com mourões de concreto armado  (H=2,5 m), com ponta virada e com 8 fios de arame farpado, incluindo chumbamento e arame de fixação.</t>
  </si>
  <si>
    <t>Elaboração de projeto e execução de rede elétrica de baixa tensão, com extensão de 200m, com cabo de alumínio de 25 mm² (3+1), incluído aprovação junto a concessionária.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</si>
  <si>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</si>
  <si>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</si>
  <si>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</si>
  <si>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do teste de vazão do poço, incluindo instalação e desinstalação de Compressor, combustível e operador.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</si>
  <si>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</si>
  <si>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</si>
  <si>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Fornecimento e instalação de caixa d'água de fibra de 10m³, sobre base de alvenaria pedra argamassada, incluído barrilhete, tubulação de dreno, lavagem e ladrão.</t>
  </si>
  <si>
    <t>Execução de base sustentação do Reservatório em alvenaria de pedra argamassada, diâmetro de 2,60m e altura de 1,50m, conforme projeto.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</si>
  <si>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até 4",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</si>
  <si>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>Fornecimento e assentamento de tubos e conexões em PVC soldável, com Diâmetro Nominal de 32mm para interligação do Poço ao Reservatório e deste ao bebedouro.</t>
  </si>
  <si>
    <t>Escavação manual de vala em material de 1 ª categoria, com dimensões de 0,40m x 0,30m, para instalação de rede de adutora, incluindo regularização manual do fundo da vala e espalhamento de material.</t>
  </si>
  <si>
    <t xml:space="preserve">Realização de Análise Físico-Química e bacteriológica da água em conformidade com a NR 518, incluindo a coleta, taxas e transporte. </t>
  </si>
  <si>
    <t>Fornecimento e instalação de Revestimento do Poço em Tubo PVC Geomecânico STD em DN de 6" com luvas e rosca (Para poços de até no máximo 150m de profundidade).</t>
  </si>
  <si>
    <t>Fornecimento e instalação de Revestimento do Poço em Tubo PVC Geomecânico REF. em DN de 6" com luvas e rosca (Para poços de 150m a 300m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</si>
  <si>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</si>
  <si>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</si>
  <si>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 12244. </t>
  </si>
  <si>
    <t>Desinfecção de poço com hipoclorito de cálcio com permanência da solução no interior do poço por período não inferior a 2h, em conformidade com a NBR 12244.</t>
  </si>
  <si>
    <t>Cadista (encargos mensalista)</t>
  </si>
  <si>
    <t>PERFURAÇÃO E INSTALAÇÃO DE POÇOS NOVOS = 100 UNIDADES</t>
  </si>
  <si>
    <t>INSTALAÇÃO DE POÇOS EXISTENTES = 100 UNIDADES</t>
  </si>
  <si>
    <t>Poços Cristalinos profundidade média 100m</t>
  </si>
  <si>
    <t>VALOR</t>
  </si>
  <si>
    <t>Perfuração de poços cristalinos - profundidade média 100,00m</t>
  </si>
  <si>
    <t>Adaptador pvc soldável com bolsa e rosca para registro 2''.</t>
  </si>
  <si>
    <t>Engenheiro elétricista júnior (encargos mensalista)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</si>
</sst>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66" formatCode="#,##0.000"/>
    <numFmt numFmtId="167" formatCode="0.0000"/>
    <numFmt numFmtId="168" formatCode="mmm\-yy"/>
    <numFmt numFmtId="169" formatCode="0.0"/>
    <numFmt numFmtId="170" formatCode="0.00000"/>
    <numFmt numFmtId="171" formatCode="0.000"/>
    <numFmt numFmtId="172" formatCode="#,##0.00\ ;&quot; (&quot;#,##0.00\);&quot; -&quot;#\ ;@\ "/>
    <numFmt numFmtId="173" formatCode="_(&quot;R$ &quot;* #,##0_);_(&quot;R$ &quot;* \(#,##0\);_(&quot;R$ &quot;* \-_);_(@_)"/>
    <numFmt numFmtId="174" formatCode="#,##0.000000"/>
    <numFmt numFmtId="175" formatCode="_(&quot;R$ &quot;* #,##0.00_);_(&quot;R$ &quot;* \(#,##0.00\);_(&quot;R$ &quot;* \-??_);_(@_)"/>
    <numFmt numFmtId="176" formatCode="#,##0.00000"/>
    <numFmt numFmtId="177" formatCode="_-* #,##0.00_-;\-* #,##0.00_-;_-* \-??_-;_-@_-"/>
    <numFmt numFmtId="178" formatCode="#,##0.0000"/>
  </numFmts>
  <fonts count="50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2"/>
      <color indexed="48"/>
      <name val="Times New Roman"/>
      <family val="1"/>
    </font>
    <font>
      <sz val="12"/>
      <color indexed="50"/>
      <name val="Times New Roman"/>
      <family val="1"/>
    </font>
    <font>
      <sz val="12"/>
      <color indexed="46"/>
      <name val="Times New Roman"/>
      <family val="1"/>
    </font>
    <font>
      <sz val="12"/>
      <color indexed="15"/>
      <name val="Times New Roman"/>
      <family val="1"/>
    </font>
    <font>
      <sz val="12"/>
      <color indexed="60"/>
      <name val="Times New Roman"/>
      <family val="1"/>
    </font>
    <font>
      <sz val="12"/>
      <color indexed="14"/>
      <name val="Times New Roman"/>
      <family val="1"/>
    </font>
    <font>
      <sz val="12"/>
      <color indexed="20"/>
      <name val="Times New Roman"/>
      <family val="1"/>
    </font>
    <font>
      <sz val="12"/>
      <color indexed="45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56"/>
      <name val="Times New Roman"/>
      <family val="1"/>
    </font>
    <font>
      <b/>
      <sz val="12"/>
      <color indexed="48"/>
      <name val="Times New Roman"/>
      <family val="1"/>
    </font>
    <font>
      <sz val="11"/>
      <name val="Times New Roman"/>
      <family val="1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99FF99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3" fontId="3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4" fontId="39" fillId="0" borderId="0" applyFill="0" applyBorder="0" applyAlignment="0" applyProtection="0"/>
    <xf numFmtId="0" fontId="40" fillId="0" borderId="0"/>
    <xf numFmtId="3" fontId="39" fillId="0" borderId="0"/>
    <xf numFmtId="0" fontId="8" fillId="3" borderId="0" applyNumberFormat="0" applyBorder="0" applyAlignment="0" applyProtection="0"/>
    <xf numFmtId="0" fontId="44" fillId="0" borderId="0"/>
    <xf numFmtId="175" fontId="39" fillId="0" borderId="0" applyFill="0" applyBorder="0" applyAlignment="0" applyProtection="0"/>
    <xf numFmtId="0" fontId="9" fillId="22" borderId="0" applyNumberFormat="0" applyBorder="0" applyAlignment="0" applyProtection="0"/>
    <xf numFmtId="0" fontId="39" fillId="0" borderId="0"/>
    <xf numFmtId="0" fontId="39" fillId="0" borderId="0"/>
    <xf numFmtId="3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3" fontId="39" fillId="0" borderId="0"/>
    <xf numFmtId="0" fontId="39" fillId="23" borderId="4" applyNumberFormat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10" fillId="16" borderId="5" applyNumberFormat="0" applyAlignment="0" applyProtection="0"/>
    <xf numFmtId="165" fontId="39" fillId="0" borderId="0" applyFill="0" applyBorder="0" applyAlignment="0" applyProtection="0"/>
    <xf numFmtId="171" fontId="39" fillId="0" borderId="0" applyFill="0" applyBorder="0" applyAlignment="0" applyProtection="0"/>
    <xf numFmtId="171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7" fontId="3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43" fontId="39" fillId="0" borderId="0" applyFont="0" applyFill="0" applyBorder="0" applyAlignment="0" applyProtection="0"/>
  </cellStyleXfs>
  <cellXfs count="752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0" fontId="18" fillId="24" borderId="0" xfId="0" applyFont="1" applyFill="1" applyBorder="1" applyAlignment="1">
      <alignment horizontal="center"/>
    </xf>
    <xf numFmtId="2" fontId="21" fillId="24" borderId="0" xfId="0" applyNumberFormat="1" applyFont="1" applyFill="1" applyBorder="1" applyAlignment="1">
      <alignment horizontal="center"/>
    </xf>
    <xf numFmtId="0" fontId="21" fillId="24" borderId="0" xfId="0" applyFont="1" applyFill="1" applyBorder="1" applyAlignment="1">
      <alignment horizontal="center"/>
    </xf>
    <xf numFmtId="4" fontId="23" fillId="24" borderId="0" xfId="0" applyNumberFormat="1" applyFont="1" applyFill="1" applyBorder="1"/>
    <xf numFmtId="0" fontId="18" fillId="24" borderId="0" xfId="0" applyFont="1" applyFill="1" applyBorder="1"/>
    <xf numFmtId="2" fontId="18" fillId="24" borderId="0" xfId="0" applyNumberFormat="1" applyFont="1" applyFill="1" applyBorder="1"/>
    <xf numFmtId="2" fontId="24" fillId="24" borderId="0" xfId="0" applyNumberFormat="1" applyFont="1" applyFill="1" applyBorder="1"/>
    <xf numFmtId="2" fontId="18" fillId="24" borderId="0" xfId="0" applyNumberFormat="1" applyFont="1" applyFill="1" applyBorder="1" applyAlignment="1">
      <alignment horizontal="left"/>
    </xf>
    <xf numFmtId="4" fontId="18" fillId="24" borderId="0" xfId="0" applyNumberFormat="1" applyFont="1" applyFill="1"/>
    <xf numFmtId="0" fontId="21" fillId="24" borderId="0" xfId="0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right"/>
    </xf>
    <xf numFmtId="2" fontId="25" fillId="24" borderId="0" xfId="0" applyNumberFormat="1" applyFont="1" applyFill="1" applyBorder="1"/>
    <xf numFmtId="2" fontId="21" fillId="24" borderId="0" xfId="0" applyNumberFormat="1" applyFont="1" applyFill="1" applyBorder="1" applyAlignment="1">
      <alignment horizontal="left"/>
    </xf>
    <xf numFmtId="2" fontId="26" fillId="24" borderId="0" xfId="0" applyNumberFormat="1" applyFont="1" applyFill="1" applyBorder="1"/>
    <xf numFmtId="0" fontId="18" fillId="24" borderId="0" xfId="0" applyFont="1" applyFill="1" applyBorder="1" applyAlignment="1">
      <alignment horizontal="left"/>
    </xf>
    <xf numFmtId="2" fontId="27" fillId="24" borderId="0" xfId="0" applyNumberFormat="1" applyFont="1" applyFill="1" applyBorder="1"/>
    <xf numFmtId="2" fontId="19" fillId="24" borderId="0" xfId="0" applyNumberFormat="1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center"/>
    </xf>
    <xf numFmtId="4" fontId="18" fillId="24" borderId="0" xfId="0" applyNumberFormat="1" applyFont="1" applyFill="1" applyBorder="1" applyAlignment="1">
      <alignment horizontal="right"/>
    </xf>
    <xf numFmtId="4" fontId="28" fillId="24" borderId="0" xfId="0" applyNumberFormat="1" applyFont="1" applyFill="1" applyBorder="1" applyAlignment="1">
      <alignment horizontal="right"/>
    </xf>
    <xf numFmtId="4" fontId="21" fillId="24" borderId="0" xfId="0" applyNumberFormat="1" applyFont="1" applyFill="1" applyBorder="1" applyAlignment="1">
      <alignment horizontal="right"/>
    </xf>
    <xf numFmtId="4" fontId="29" fillId="24" borderId="0" xfId="0" applyNumberFormat="1" applyFont="1" applyFill="1" applyBorder="1"/>
    <xf numFmtId="2" fontId="30" fillId="24" borderId="0" xfId="0" applyNumberFormat="1" applyFont="1" applyFill="1" applyBorder="1"/>
    <xf numFmtId="4" fontId="31" fillId="0" borderId="0" xfId="0" applyNumberFormat="1" applyFont="1"/>
    <xf numFmtId="4" fontId="31" fillId="24" borderId="10" xfId="48" applyNumberFormat="1" applyFont="1" applyFill="1" applyBorder="1" applyAlignment="1">
      <alignment horizontal="left" vertical="center"/>
    </xf>
    <xf numFmtId="4" fontId="31" fillId="24" borderId="11" xfId="48" applyNumberFormat="1" applyFont="1" applyFill="1" applyBorder="1" applyAlignment="1">
      <alignment horizontal="center" vertical="center" wrapText="1"/>
    </xf>
    <xf numFmtId="4" fontId="31" fillId="24" borderId="12" xfId="48" applyNumberFormat="1" applyFont="1" applyFill="1" applyBorder="1" applyAlignment="1">
      <alignment horizontal="center" vertical="center" wrapText="1"/>
    </xf>
    <xf numFmtId="4" fontId="31" fillId="24" borderId="13" xfId="48" applyNumberFormat="1" applyFont="1" applyFill="1" applyBorder="1" applyAlignment="1">
      <alignment horizontal="center" vertical="center" wrapText="1"/>
    </xf>
    <xf numFmtId="4" fontId="31" fillId="0" borderId="14" xfId="48" applyNumberFormat="1" applyFont="1" applyBorder="1" applyAlignment="1">
      <alignment horizontal="left" vertical="center"/>
    </xf>
    <xf numFmtId="4" fontId="31" fillId="24" borderId="15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center"/>
    </xf>
    <xf numFmtId="4" fontId="31" fillId="24" borderId="12" xfId="48" applyNumberFormat="1" applyFont="1" applyFill="1" applyBorder="1" applyAlignment="1">
      <alignment horizontal="right"/>
    </xf>
    <xf numFmtId="4" fontId="31" fillId="24" borderId="13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/>
    </xf>
    <xf numFmtId="4" fontId="31" fillId="24" borderId="14" xfId="48" applyNumberFormat="1" applyFont="1" applyFill="1" applyBorder="1" applyAlignment="1">
      <alignment horizontal="center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12" xfId="48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wrapText="1"/>
    </xf>
    <xf numFmtId="4" fontId="31" fillId="0" borderId="12" xfId="48" applyNumberFormat="1" applyFont="1" applyFill="1" applyBorder="1" applyAlignment="1">
      <alignment horizontal="center" vertical="center"/>
    </xf>
    <xf numFmtId="4" fontId="31" fillId="0" borderId="12" xfId="48" applyNumberFormat="1" applyFont="1" applyFill="1" applyBorder="1" applyAlignment="1">
      <alignment horizontal="right" vertical="center"/>
    </xf>
    <xf numFmtId="4" fontId="33" fillId="0" borderId="0" xfId="0" applyNumberFormat="1" applyFont="1"/>
    <xf numFmtId="4" fontId="31" fillId="4" borderId="12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horizontal="left" vertical="center"/>
    </xf>
    <xf numFmtId="4" fontId="31" fillId="24" borderId="16" xfId="48" applyNumberFormat="1" applyFont="1" applyFill="1" applyBorder="1" applyAlignment="1">
      <alignment horizontal="right" vertical="center"/>
    </xf>
    <xf numFmtId="4" fontId="32" fillId="24" borderId="0" xfId="48" applyNumberFormat="1" applyFont="1" applyFill="1" applyBorder="1" applyAlignment="1">
      <alignment horizontal="left" vertical="center"/>
    </xf>
    <xf numFmtId="4" fontId="31" fillId="4" borderId="12" xfId="48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center"/>
    </xf>
    <xf numFmtId="4" fontId="31" fillId="0" borderId="12" xfId="48" applyNumberFormat="1" applyFont="1" applyFill="1" applyBorder="1" applyAlignment="1">
      <alignment horizontal="right"/>
    </xf>
    <xf numFmtId="4" fontId="31" fillId="24" borderId="10" xfId="33" applyNumberFormat="1" applyFont="1" applyFill="1" applyBorder="1" applyAlignment="1">
      <alignment horizontal="left" vertical="center"/>
    </xf>
    <xf numFmtId="4" fontId="31" fillId="24" borderId="17" xfId="33" applyNumberFormat="1" applyFont="1" applyFill="1" applyBorder="1" applyAlignment="1">
      <alignment horizontal="center" vertical="center"/>
    </xf>
    <xf numFmtId="4" fontId="31" fillId="24" borderId="18" xfId="33" applyNumberFormat="1" applyFont="1" applyFill="1" applyBorder="1" applyAlignment="1">
      <alignment horizontal="center"/>
    </xf>
    <xf numFmtId="4" fontId="31" fillId="24" borderId="12" xfId="33" applyNumberFormat="1" applyFont="1" applyFill="1" applyBorder="1" applyAlignment="1">
      <alignment horizontal="right"/>
    </xf>
    <xf numFmtId="4" fontId="31" fillId="24" borderId="13" xfId="33" applyNumberFormat="1" applyFont="1" applyFill="1" applyBorder="1" applyAlignment="1">
      <alignment horizontal="center"/>
    </xf>
    <xf numFmtId="4" fontId="31" fillId="0" borderId="19" xfId="33" applyNumberFormat="1" applyFont="1" applyFill="1" applyBorder="1" applyAlignment="1">
      <alignment horizontal="center" vertical="center"/>
    </xf>
    <xf numFmtId="4" fontId="31" fillId="0" borderId="12" xfId="33" applyNumberFormat="1" applyFont="1" applyFill="1" applyBorder="1" applyAlignment="1">
      <alignment horizontal="right"/>
    </xf>
    <xf numFmtId="4" fontId="31" fillId="4" borderId="12" xfId="33" applyNumberFormat="1" applyFont="1" applyFill="1" applyBorder="1" applyAlignment="1">
      <alignment horizontal="center"/>
    </xf>
    <xf numFmtId="4" fontId="31" fillId="0" borderId="0" xfId="33" applyNumberFormat="1" applyFont="1" applyFill="1" applyBorder="1" applyAlignment="1">
      <alignment horizontal="center" vertical="center"/>
    </xf>
    <xf numFmtId="4" fontId="31" fillId="24" borderId="14" xfId="33" applyNumberFormat="1" applyFont="1" applyFill="1" applyBorder="1" applyAlignment="1">
      <alignment horizontal="center" vertical="center"/>
    </xf>
    <xf numFmtId="4" fontId="31" fillId="24" borderId="12" xfId="33" applyNumberFormat="1" applyFont="1" applyFill="1" applyBorder="1" applyAlignment="1">
      <alignment horizontal="right" vertical="center"/>
    </xf>
    <xf numFmtId="4" fontId="31" fillId="24" borderId="12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/>
    </xf>
    <xf numFmtId="4" fontId="31" fillId="0" borderId="12" xfId="33" applyNumberFormat="1" applyFont="1" applyFill="1" applyBorder="1" applyAlignment="1">
      <alignment horizontal="right" vertical="center"/>
    </xf>
    <xf numFmtId="4" fontId="31" fillId="4" borderId="12" xfId="33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 applyAlignment="1">
      <alignment horizontal="left"/>
    </xf>
    <xf numFmtId="4" fontId="31" fillId="24" borderId="20" xfId="33" applyNumberFormat="1" applyFont="1" applyFill="1" applyBorder="1" applyAlignment="1">
      <alignment horizontal="center"/>
    </xf>
    <xf numFmtId="4" fontId="31" fillId="24" borderId="20" xfId="33" applyNumberFormat="1" applyFont="1" applyFill="1" applyBorder="1" applyAlignment="1">
      <alignment horizontal="right"/>
    </xf>
    <xf numFmtId="4" fontId="31" fillId="24" borderId="21" xfId="33" applyNumberFormat="1" applyFont="1" applyFill="1" applyBorder="1" applyAlignment="1">
      <alignment horizontal="center"/>
    </xf>
    <xf numFmtId="4" fontId="31" fillId="24" borderId="14" xfId="33" applyNumberFormat="1" applyFont="1" applyFill="1" applyBorder="1"/>
    <xf numFmtId="4" fontId="31" fillId="24" borderId="14" xfId="33" applyNumberFormat="1" applyFont="1" applyFill="1" applyBorder="1" applyAlignment="1">
      <alignment horizontal="left" vertical="center" wrapText="1"/>
    </xf>
    <xf numFmtId="4" fontId="31" fillId="0" borderId="12" xfId="33" applyNumberFormat="1" applyFont="1" applyFill="1" applyBorder="1" applyAlignment="1">
      <alignment horizontal="center" vertical="center"/>
    </xf>
    <xf numFmtId="4" fontId="31" fillId="0" borderId="14" xfId="48" applyNumberFormat="1" applyFont="1" applyFill="1" applyBorder="1" applyAlignment="1">
      <alignment horizontal="left" vertical="center" wrapText="1"/>
    </xf>
    <xf numFmtId="4" fontId="31" fillId="0" borderId="15" xfId="48" applyNumberFormat="1" applyFont="1" applyFill="1" applyBorder="1" applyAlignment="1">
      <alignment horizontal="center" vertical="center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13" xfId="48" applyNumberFormat="1" applyFont="1" applyFill="1" applyBorder="1" applyAlignment="1">
      <alignment horizontal="center" vertical="center"/>
    </xf>
    <xf numFmtId="4" fontId="31" fillId="24" borderId="15" xfId="48" applyNumberFormat="1" applyFont="1" applyFill="1" applyBorder="1" applyAlignment="1">
      <alignment horizontal="center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13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/>
    </xf>
    <xf numFmtId="4" fontId="31" fillId="24" borderId="22" xfId="48" applyNumberFormat="1" applyFont="1" applyFill="1" applyBorder="1" applyAlignment="1">
      <alignment horizontal="center"/>
    </xf>
    <xf numFmtId="4" fontId="31" fillId="0" borderId="0" xfId="0" applyNumberFormat="1" applyFont="1" applyAlignment="1">
      <alignment wrapText="1"/>
    </xf>
    <xf numFmtId="4" fontId="31" fillId="0" borderId="15" xfId="48" applyNumberFormat="1" applyFont="1" applyFill="1" applyBorder="1" applyAlignment="1">
      <alignment horizontal="center"/>
    </xf>
    <xf numFmtId="4" fontId="31" fillId="24" borderId="22" xfId="48" applyNumberFormat="1" applyFont="1" applyFill="1" applyBorder="1" applyAlignment="1">
      <alignment horizontal="center" vertical="center"/>
    </xf>
    <xf numFmtId="4" fontId="31" fillId="24" borderId="18" xfId="48" applyNumberFormat="1" applyFont="1" applyFill="1" applyBorder="1" applyAlignment="1">
      <alignment horizontal="center"/>
    </xf>
    <xf numFmtId="4" fontId="31" fillId="0" borderId="14" xfId="48" applyNumberFormat="1" applyFont="1" applyBorder="1" applyAlignment="1">
      <alignment horizontal="left" vertical="center" wrapText="1"/>
    </xf>
    <xf numFmtId="4" fontId="31" fillId="0" borderId="0" xfId="0" applyNumberFormat="1" applyFont="1" applyFill="1"/>
    <xf numFmtId="4" fontId="31" fillId="0" borderId="14" xfId="48" applyNumberFormat="1" applyFont="1" applyFill="1" applyBorder="1" applyAlignment="1">
      <alignment horizontal="left" vertical="center"/>
    </xf>
    <xf numFmtId="4" fontId="31" fillId="0" borderId="13" xfId="48" applyNumberFormat="1" applyFont="1" applyFill="1" applyBorder="1" applyAlignment="1">
      <alignment horizontal="center"/>
    </xf>
    <xf numFmtId="3" fontId="31" fillId="0" borderId="0" xfId="0" applyNumberFormat="1" applyFont="1"/>
    <xf numFmtId="1" fontId="31" fillId="0" borderId="0" xfId="0" applyNumberFormat="1" applyFont="1"/>
    <xf numFmtId="4" fontId="31" fillId="0" borderId="14" xfId="0" applyNumberFormat="1" applyFont="1" applyBorder="1" applyAlignment="1">
      <alignment wrapText="1"/>
    </xf>
    <xf numFmtId="4" fontId="34" fillId="0" borderId="0" xfId="0" applyNumberFormat="1" applyFont="1"/>
    <xf numFmtId="0" fontId="31" fillId="0" borderId="0" xfId="0" applyFont="1"/>
    <xf numFmtId="4" fontId="31" fillId="24" borderId="23" xfId="33" applyNumberFormat="1" applyFont="1" applyFill="1" applyBorder="1" applyAlignment="1">
      <alignment horizontal="left"/>
    </xf>
    <xf numFmtId="166" fontId="31" fillId="24" borderId="12" xfId="48" applyNumberFormat="1" applyFont="1" applyFill="1" applyBorder="1" applyAlignment="1">
      <alignment horizont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5" fillId="0" borderId="0" xfId="0" applyNumberFormat="1" applyFont="1"/>
    <xf numFmtId="4" fontId="31" fillId="24" borderId="20" xfId="48" applyNumberFormat="1" applyFont="1" applyFill="1" applyBorder="1" applyAlignment="1">
      <alignment horizontal="center"/>
    </xf>
    <xf numFmtId="4" fontId="31" fillId="24" borderId="14" xfId="48" applyNumberFormat="1" applyFont="1" applyFill="1" applyBorder="1" applyAlignment="1">
      <alignment vertical="center"/>
    </xf>
    <xf numFmtId="4" fontId="31" fillId="24" borderId="11" xfId="48" applyNumberFormat="1" applyFont="1" applyFill="1" applyBorder="1" applyAlignment="1">
      <alignment vertical="center"/>
    </xf>
    <xf numFmtId="4" fontId="31" fillId="24" borderId="18" xfId="48" applyNumberFormat="1" applyFont="1" applyFill="1" applyBorder="1" applyAlignment="1">
      <alignment horizontal="left" vertical="center"/>
    </xf>
    <xf numFmtId="3" fontId="31" fillId="0" borderId="24" xfId="0" applyNumberFormat="1" applyFont="1" applyFill="1" applyBorder="1" applyAlignment="1">
      <alignment horizontal="center" vertical="center"/>
    </xf>
    <xf numFmtId="168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4" fontId="31" fillId="24" borderId="14" xfId="33" applyNumberFormat="1" applyFont="1" applyFill="1" applyBorder="1" applyAlignment="1">
      <alignment horizontal="left" vertical="center"/>
    </xf>
    <xf numFmtId="165" fontId="39" fillId="24" borderId="0" xfId="53" applyFill="1" applyBorder="1" applyAlignment="1">
      <alignment vertical="top" wrapText="1"/>
    </xf>
    <xf numFmtId="4" fontId="0" fillId="0" borderId="0" xfId="0" applyNumberFormat="1" applyAlignment="1">
      <alignment vertical="center"/>
    </xf>
    <xf numFmtId="4" fontId="31" fillId="0" borderId="14" xfId="48" applyNumberFormat="1" applyFont="1" applyBorder="1" applyAlignment="1">
      <alignment horizontal="justify" vertical="center" wrapText="1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0" borderId="14" xfId="48" applyNumberFormat="1" applyFont="1" applyFill="1" applyBorder="1" applyAlignment="1">
      <alignment horizontal="justify" vertical="center" wrapText="1"/>
    </xf>
    <xf numFmtId="4" fontId="31" fillId="24" borderId="13" xfId="33" applyNumberFormat="1" applyFont="1" applyFill="1" applyBorder="1" applyAlignment="1">
      <alignment horizontal="center" vertical="center"/>
    </xf>
    <xf numFmtId="4" fontId="31" fillId="24" borderId="17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vertical="center"/>
    </xf>
    <xf numFmtId="4" fontId="32" fillId="24" borderId="0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0" borderId="0" xfId="0" applyNumberFormat="1" applyFont="1" applyAlignment="1">
      <alignment horizontal="center"/>
    </xf>
    <xf numFmtId="4" fontId="31" fillId="24" borderId="22" xfId="33" applyNumberFormat="1" applyFont="1" applyFill="1" applyBorder="1" applyAlignment="1">
      <alignment horizontal="center"/>
    </xf>
    <xf numFmtId="4" fontId="31" fillId="0" borderId="13" xfId="33" applyNumberFormat="1" applyFont="1" applyFill="1" applyBorder="1" applyAlignment="1">
      <alignment horizontal="center"/>
    </xf>
    <xf numFmtId="4" fontId="32" fillId="24" borderId="13" xfId="33" applyNumberFormat="1" applyFont="1" applyFill="1" applyBorder="1" applyAlignment="1">
      <alignment horizontal="center"/>
    </xf>
    <xf numFmtId="4" fontId="32" fillId="24" borderId="22" xfId="33" applyNumberFormat="1" applyFont="1" applyFill="1" applyBorder="1" applyAlignment="1">
      <alignment horizontal="center"/>
    </xf>
    <xf numFmtId="4" fontId="18" fillId="25" borderId="25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vertical="center"/>
    </xf>
    <xf numFmtId="4" fontId="31" fillId="24" borderId="27" xfId="48" applyNumberFormat="1" applyFont="1" applyFill="1" applyBorder="1" applyAlignment="1">
      <alignment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15" xfId="33" applyNumberFormat="1" applyFont="1" applyFill="1" applyBorder="1" applyAlignment="1">
      <alignment horizontal="center"/>
    </xf>
    <xf numFmtId="4" fontId="31" fillId="0" borderId="28" xfId="33" applyNumberFormat="1" applyFont="1" applyFill="1" applyBorder="1" applyAlignment="1">
      <alignment horizontal="center"/>
    </xf>
    <xf numFmtId="4" fontId="31" fillId="24" borderId="28" xfId="33" applyNumberFormat="1" applyFont="1" applyFill="1" applyBorder="1" applyAlignment="1">
      <alignment horizontal="center"/>
    </xf>
    <xf numFmtId="4" fontId="31" fillId="0" borderId="15" xfId="33" applyNumberFormat="1" applyFont="1" applyFill="1" applyBorder="1" applyAlignment="1">
      <alignment horizontal="center"/>
    </xf>
    <xf numFmtId="4" fontId="31" fillId="24" borderId="20" xfId="48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 vertical="center"/>
    </xf>
    <xf numFmtId="4" fontId="31" fillId="24" borderId="26" xfId="48" applyNumberFormat="1" applyFont="1" applyFill="1" applyBorder="1" applyAlignment="1">
      <alignment horizontal="left" vertical="center"/>
    </xf>
    <xf numFmtId="4" fontId="31" fillId="24" borderId="29" xfId="48" applyNumberFormat="1" applyFont="1" applyFill="1" applyBorder="1" applyAlignment="1">
      <alignment horizontal="right" vertical="center"/>
    </xf>
    <xf numFmtId="4" fontId="31" fillId="24" borderId="30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 wrapText="1"/>
    </xf>
    <xf numFmtId="4" fontId="31" fillId="0" borderId="31" xfId="33" applyNumberFormat="1" applyFont="1" applyFill="1" applyBorder="1" applyAlignment="1">
      <alignment horizontal="center" vertical="center"/>
    </xf>
    <xf numFmtId="4" fontId="31" fillId="0" borderId="13" xfId="33" applyNumberFormat="1" applyFont="1" applyFill="1" applyBorder="1" applyAlignment="1">
      <alignment horizontal="center" vertical="center"/>
    </xf>
    <xf numFmtId="4" fontId="31" fillId="0" borderId="14" xfId="33" applyNumberFormat="1" applyFont="1" applyFill="1" applyBorder="1" applyAlignment="1">
      <alignment horizontal="justify" vertical="center"/>
    </xf>
    <xf numFmtId="4" fontId="31" fillId="0" borderId="27" xfId="33" applyNumberFormat="1" applyFont="1" applyFill="1" applyBorder="1" applyAlignment="1">
      <alignment horizontal="right" vertical="center"/>
    </xf>
    <xf numFmtId="4" fontId="31" fillId="24" borderId="14" xfId="33" applyNumberFormat="1" applyFont="1" applyFill="1" applyBorder="1" applyAlignment="1">
      <alignment horizontal="justify" vertical="center" wrapText="1"/>
    </xf>
    <xf numFmtId="4" fontId="31" fillId="24" borderId="27" xfId="33" applyNumberFormat="1" applyFont="1" applyFill="1" applyBorder="1" applyAlignment="1">
      <alignment horizontal="right" vertical="center"/>
    </xf>
    <xf numFmtId="4" fontId="31" fillId="24" borderId="23" xfId="33" applyNumberFormat="1" applyFont="1" applyFill="1" applyBorder="1" applyAlignment="1">
      <alignment horizontal="justify" vertical="center" wrapText="1"/>
    </xf>
    <xf numFmtId="4" fontId="31" fillId="24" borderId="32" xfId="33" applyNumberFormat="1" applyFont="1" applyFill="1" applyBorder="1" applyAlignment="1">
      <alignment horizontal="center" vertical="center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3" xfId="48" applyNumberFormat="1" applyFont="1" applyFill="1" applyBorder="1" applyAlignment="1">
      <alignment horizontal="center"/>
    </xf>
    <xf numFmtId="166" fontId="31" fillId="24" borderId="15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center"/>
    </xf>
    <xf numFmtId="4" fontId="31" fillId="24" borderId="24" xfId="33" applyNumberFormat="1" applyFont="1" applyFill="1" applyBorder="1" applyAlignment="1">
      <alignment horizontal="center"/>
    </xf>
    <xf numFmtId="4" fontId="31" fillId="24" borderId="24" xfId="48" applyNumberFormat="1" applyFont="1" applyFill="1" applyBorder="1" applyAlignment="1">
      <alignment horizontal="right"/>
    </xf>
    <xf numFmtId="4" fontId="31" fillId="24" borderId="24" xfId="33" applyNumberFormat="1" applyFont="1" applyFill="1" applyBorder="1" applyAlignment="1">
      <alignment horizontal="center" vertical="center"/>
    </xf>
    <xf numFmtId="4" fontId="31" fillId="24" borderId="24" xfId="48" applyNumberFormat="1" applyFont="1" applyFill="1" applyBorder="1" applyAlignment="1">
      <alignment horizontal="right" vertical="center"/>
    </xf>
    <xf numFmtId="4" fontId="31" fillId="4" borderId="24" xfId="48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center" vertical="center"/>
    </xf>
    <xf numFmtId="4" fontId="31" fillId="0" borderId="24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right" vertical="center"/>
    </xf>
    <xf numFmtId="4" fontId="31" fillId="0" borderId="14" xfId="0" applyNumberFormat="1" applyFont="1" applyBorder="1" applyAlignment="1">
      <alignment horizontal="justify" vertical="center" wrapText="1"/>
    </xf>
    <xf numFmtId="4" fontId="31" fillId="24" borderId="12" xfId="33" applyNumberFormat="1" applyFont="1" applyFill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165" fontId="39" fillId="24" borderId="0" xfId="53" applyFill="1" applyBorder="1" applyAlignment="1">
      <alignment vertical="center" wrapText="1"/>
    </xf>
    <xf numFmtId="165" fontId="3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31" fillId="0" borderId="34" xfId="0" applyFont="1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1" fontId="31" fillId="0" borderId="24" xfId="0" applyNumberFormat="1" applyFont="1" applyFill="1" applyBorder="1" applyAlignment="1">
      <alignment horizontal="center" vertical="center" wrapText="1"/>
    </xf>
    <xf numFmtId="4" fontId="31" fillId="24" borderId="18" xfId="48" applyNumberFormat="1" applyFont="1" applyFill="1" applyBorder="1" applyAlignment="1">
      <alignment horizontal="center" vertical="center"/>
    </xf>
    <xf numFmtId="4" fontId="31" fillId="24" borderId="20" xfId="33" applyNumberFormat="1" applyFont="1" applyFill="1" applyBorder="1" applyAlignment="1">
      <alignment horizontal="center" vertical="center"/>
    </xf>
    <xf numFmtId="166" fontId="31" fillId="24" borderId="12" xfId="48" applyNumberFormat="1" applyFont="1" applyFill="1" applyBorder="1" applyAlignment="1">
      <alignment horizontal="center" vertical="center"/>
    </xf>
    <xf numFmtId="4" fontId="31" fillId="24" borderId="11" xfId="33" applyNumberFormat="1" applyFont="1" applyFill="1" applyBorder="1" applyAlignment="1">
      <alignment horizontal="center" vertical="center"/>
    </xf>
    <xf numFmtId="4" fontId="31" fillId="24" borderId="22" xfId="33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9" fillId="24" borderId="0" xfId="0" quotePrefix="1" applyFont="1" applyFill="1" applyBorder="1" applyAlignment="1">
      <alignment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164" fontId="18" fillId="24" borderId="0" xfId="0" applyNumberFormat="1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3" fontId="31" fillId="0" borderId="0" xfId="0" applyNumberFormat="1" applyFont="1" applyAlignment="1">
      <alignment vertical="center"/>
    </xf>
    <xf numFmtId="4" fontId="41" fillId="4" borderId="35" xfId="48" applyNumberFormat="1" applyFont="1" applyFill="1" applyBorder="1" applyAlignment="1">
      <alignment horizontal="center" vertical="center"/>
    </xf>
    <xf numFmtId="4" fontId="42" fillId="4" borderId="35" xfId="33" applyNumberFormat="1" applyFont="1" applyFill="1" applyBorder="1" applyAlignment="1">
      <alignment horizontal="center" vertical="center"/>
    </xf>
    <xf numFmtId="4" fontId="31" fillId="24" borderId="27" xfId="48" applyNumberFormat="1" applyFont="1" applyFill="1" applyBorder="1" applyAlignment="1">
      <alignment horizontal="right"/>
    </xf>
    <xf numFmtId="4" fontId="31" fillId="4" borderId="27" xfId="48" applyNumberFormat="1" applyFont="1" applyFill="1" applyBorder="1" applyAlignment="1">
      <alignment horizontal="center"/>
    </xf>
    <xf numFmtId="4" fontId="31" fillId="24" borderId="29" xfId="48" applyNumberFormat="1" applyFont="1" applyFill="1" applyBorder="1" applyAlignment="1">
      <alignment horizontal="justify" vertical="center" wrapText="1"/>
    </xf>
    <xf numFmtId="4" fontId="31" fillId="24" borderId="36" xfId="48" applyNumberFormat="1" applyFont="1" applyFill="1" applyBorder="1" applyAlignment="1">
      <alignment horizontal="right"/>
    </xf>
    <xf numFmtId="4" fontId="31" fillId="4" borderId="36" xfId="48" applyNumberFormat="1" applyFont="1" applyFill="1" applyBorder="1" applyAlignment="1">
      <alignment horizontal="center"/>
    </xf>
    <xf numFmtId="4" fontId="31" fillId="24" borderId="37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center"/>
    </xf>
    <xf numFmtId="4" fontId="31" fillId="24" borderId="38" xfId="48" applyNumberFormat="1" applyFont="1" applyFill="1" applyBorder="1" applyAlignment="1">
      <alignment horizontal="right"/>
    </xf>
    <xf numFmtId="4" fontId="31" fillId="24" borderId="21" xfId="48" applyNumberFormat="1" applyFont="1" applyFill="1" applyBorder="1" applyAlignment="1">
      <alignment horizontal="center" vertical="center"/>
    </xf>
    <xf numFmtId="4" fontId="31" fillId="24" borderId="39" xfId="48" applyNumberFormat="1" applyFont="1" applyFill="1" applyBorder="1" applyAlignment="1">
      <alignment horizontal="center" vertical="center"/>
    </xf>
    <xf numFmtId="4" fontId="31" fillId="24" borderId="40" xfId="48" applyNumberFormat="1" applyFont="1" applyFill="1" applyBorder="1" applyAlignment="1">
      <alignment horizontal="center" vertical="center" wrapText="1"/>
    </xf>
    <xf numFmtId="4" fontId="31" fillId="24" borderId="41" xfId="48" applyNumberFormat="1" applyFont="1" applyFill="1" applyBorder="1" applyAlignment="1">
      <alignment horizontal="center" vertical="center" wrapText="1"/>
    </xf>
    <xf numFmtId="4" fontId="31" fillId="0" borderId="42" xfId="48" applyNumberFormat="1" applyFont="1" applyBorder="1" applyAlignment="1">
      <alignment horizontal="left" vertical="center" wrapText="1"/>
    </xf>
    <xf numFmtId="4" fontId="31" fillId="24" borderId="41" xfId="48" applyNumberFormat="1" applyFont="1" applyFill="1" applyBorder="1" applyAlignment="1">
      <alignment horizontal="center"/>
    </xf>
    <xf numFmtId="4" fontId="31" fillId="24" borderId="43" xfId="48" applyNumberFormat="1" applyFont="1" applyFill="1" applyBorder="1" applyAlignment="1">
      <alignment horizontal="center" vertical="center"/>
    </xf>
    <xf numFmtId="4" fontId="31" fillId="24" borderId="44" xfId="48" applyNumberFormat="1" applyFont="1" applyFill="1" applyBorder="1" applyAlignment="1">
      <alignment horizontal="center"/>
    </xf>
    <xf numFmtId="4" fontId="31" fillId="0" borderId="45" xfId="48" applyNumberFormat="1" applyFont="1" applyBorder="1" applyAlignment="1">
      <alignment horizontal="justify" vertical="center" wrapText="1"/>
    </xf>
    <xf numFmtId="4" fontId="31" fillId="24" borderId="44" xfId="48" applyNumberFormat="1" applyFont="1" applyFill="1" applyBorder="1" applyAlignment="1">
      <alignment horizontal="center" vertical="center"/>
    </xf>
    <xf numFmtId="4" fontId="31" fillId="0" borderId="44" xfId="48" applyNumberFormat="1" applyFont="1" applyFill="1" applyBorder="1" applyAlignment="1">
      <alignment horizontal="center" vertical="center"/>
    </xf>
    <xf numFmtId="4" fontId="31" fillId="0" borderId="45" xfId="48" applyNumberFormat="1" applyFont="1" applyBorder="1" applyAlignment="1">
      <alignment horizontal="justify" vertical="center"/>
    </xf>
    <xf numFmtId="4" fontId="31" fillId="0" borderId="45" xfId="48" applyNumberFormat="1" applyFont="1" applyFill="1" applyBorder="1" applyAlignment="1">
      <alignment horizontal="justify" vertical="center" wrapText="1"/>
    </xf>
    <xf numFmtId="4" fontId="31" fillId="0" borderId="45" xfId="0" applyNumberFormat="1" applyFont="1" applyBorder="1" applyAlignment="1">
      <alignment horizontal="justify" vertical="center" wrapText="1"/>
    </xf>
    <xf numFmtId="4" fontId="31" fillId="0" borderId="45" xfId="0" applyNumberFormat="1" applyFont="1" applyFill="1" applyBorder="1" applyAlignment="1">
      <alignment vertical="center" wrapText="1"/>
    </xf>
    <xf numFmtId="4" fontId="31" fillId="0" borderId="45" xfId="48" applyNumberFormat="1" applyFont="1" applyBorder="1" applyAlignment="1">
      <alignment horizontal="left" vertical="center" wrapText="1"/>
    </xf>
    <xf numFmtId="4" fontId="31" fillId="24" borderId="45" xfId="48" applyNumberFormat="1" applyFont="1" applyFill="1" applyBorder="1" applyAlignment="1">
      <alignment horizontal="center" vertical="center"/>
    </xf>
    <xf numFmtId="4" fontId="31" fillId="0" borderId="45" xfId="48" applyNumberFormat="1" applyFont="1" applyFill="1" applyBorder="1" applyAlignment="1">
      <alignment horizontal="left" vertical="center" wrapText="1"/>
    </xf>
    <xf numFmtId="4" fontId="31" fillId="24" borderId="46" xfId="48" applyNumberFormat="1" applyFont="1" applyFill="1" applyBorder="1" applyAlignment="1">
      <alignment horizontal="center" vertical="center"/>
    </xf>
    <xf numFmtId="4" fontId="31" fillId="24" borderId="47" xfId="48" applyNumberFormat="1" applyFont="1" applyFill="1" applyBorder="1" applyAlignment="1">
      <alignment horizontal="center"/>
    </xf>
    <xf numFmtId="4" fontId="31" fillId="24" borderId="42" xfId="48" applyNumberFormat="1" applyFont="1" applyFill="1" applyBorder="1" applyAlignment="1">
      <alignment horizontal="left" vertical="center"/>
    </xf>
    <xf numFmtId="4" fontId="31" fillId="24" borderId="40" xfId="48" applyNumberFormat="1" applyFont="1" applyFill="1" applyBorder="1" applyAlignment="1">
      <alignment horizontal="left" vertical="center"/>
    </xf>
    <xf numFmtId="4" fontId="31" fillId="24" borderId="41" xfId="48" applyNumberFormat="1" applyFont="1" applyFill="1" applyBorder="1" applyAlignment="1">
      <alignment horizontal="center" vertical="center"/>
    </xf>
    <xf numFmtId="4" fontId="31" fillId="24" borderId="46" xfId="48" applyNumberFormat="1" applyFont="1" applyFill="1" applyBorder="1" applyAlignment="1">
      <alignment horizontal="center"/>
    </xf>
    <xf numFmtId="4" fontId="31" fillId="24" borderId="48" xfId="48" applyNumberFormat="1" applyFont="1" applyFill="1" applyBorder="1" applyAlignment="1">
      <alignment horizontal="right" vertical="center"/>
    </xf>
    <xf numFmtId="4" fontId="31" fillId="24" borderId="40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1" fillId="4" borderId="27" xfId="48" applyNumberFormat="1" applyFont="1" applyFill="1" applyBorder="1" applyAlignment="1">
      <alignment horizontal="center" vertical="center"/>
    </xf>
    <xf numFmtId="4" fontId="31" fillId="0" borderId="11" xfId="48" applyNumberFormat="1" applyFont="1" applyBorder="1" applyAlignment="1">
      <alignment horizontal="left" vertical="center" wrapText="1"/>
    </xf>
    <xf numFmtId="4" fontId="31" fillId="24" borderId="49" xfId="48" applyNumberFormat="1" applyFont="1" applyFill="1" applyBorder="1" applyAlignment="1">
      <alignment horizontal="center" vertical="center"/>
    </xf>
    <xf numFmtId="4" fontId="31" fillId="24" borderId="49" xfId="33" applyNumberFormat="1" applyFont="1" applyFill="1" applyBorder="1" applyAlignment="1">
      <alignment horizontal="center" vertical="center"/>
    </xf>
    <xf numFmtId="166" fontId="31" fillId="0" borderId="15" xfId="33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50" xfId="32" applyFont="1" applyBorder="1" applyAlignment="1">
      <alignment horizontal="center"/>
    </xf>
    <xf numFmtId="0" fontId="43" fillId="0" borderId="51" xfId="32" applyFont="1" applyBorder="1"/>
    <xf numFmtId="165" fontId="20" fillId="0" borderId="52" xfId="53" applyFont="1" applyFill="1" applyBorder="1" applyAlignment="1" applyProtection="1"/>
    <xf numFmtId="0" fontId="32" fillId="0" borderId="51" xfId="32" applyFont="1" applyBorder="1"/>
    <xf numFmtId="0" fontId="20" fillId="0" borderId="51" xfId="32" applyFont="1" applyBorder="1"/>
    <xf numFmtId="165" fontId="31" fillId="0" borderId="52" xfId="53" applyFont="1" applyFill="1" applyBorder="1" applyAlignment="1" applyProtection="1"/>
    <xf numFmtId="9" fontId="20" fillId="0" borderId="52" xfId="53" applyNumberFormat="1" applyFont="1" applyFill="1" applyBorder="1" applyAlignment="1" applyProtection="1"/>
    <xf numFmtId="0" fontId="31" fillId="0" borderId="51" xfId="32" applyFont="1" applyBorder="1"/>
    <xf numFmtId="172" fontId="20" fillId="0" borderId="52" xfId="32" applyNumberFormat="1" applyFont="1" applyBorder="1"/>
    <xf numFmtId="0" fontId="20" fillId="0" borderId="52" xfId="32" applyFont="1" applyBorder="1"/>
    <xf numFmtId="172" fontId="32" fillId="0" borderId="52" xfId="32" applyNumberFormat="1" applyFont="1" applyBorder="1"/>
    <xf numFmtId="0" fontId="20" fillId="0" borderId="53" xfId="32" applyFont="1" applyBorder="1" applyAlignment="1">
      <alignment horizontal="center"/>
    </xf>
    <xf numFmtId="0" fontId="32" fillId="0" borderId="0" xfId="32" applyFont="1" applyBorder="1"/>
    <xf numFmtId="172" fontId="20" fillId="0" borderId="54" xfId="32" applyNumberFormat="1" applyFont="1" applyBorder="1"/>
    <xf numFmtId="0" fontId="20" fillId="0" borderId="0" xfId="32" applyFont="1" applyBorder="1"/>
    <xf numFmtId="0" fontId="20" fillId="0" borderId="55" xfId="32" applyFont="1" applyBorder="1" applyAlignment="1">
      <alignment horizontal="center"/>
    </xf>
    <xf numFmtId="0" fontId="20" fillId="0" borderId="56" xfId="32" applyFont="1" applyBorder="1"/>
    <xf numFmtId="172" fontId="20" fillId="0" borderId="57" xfId="32" applyNumberFormat="1" applyFont="1" applyBorder="1"/>
    <xf numFmtId="4" fontId="31" fillId="0" borderId="11" xfId="48" applyNumberFormat="1" applyFont="1" applyFill="1" applyBorder="1" applyAlignment="1">
      <alignment horizontal="left" vertical="center"/>
    </xf>
    <xf numFmtId="4" fontId="33" fillId="0" borderId="0" xfId="0" applyNumberFormat="1" applyFont="1" applyFill="1" applyAlignment="1">
      <alignment vertical="center"/>
    </xf>
    <xf numFmtId="4" fontId="31" fillId="0" borderId="14" xfId="48" applyNumberFormat="1" applyFont="1" applyFill="1" applyBorder="1" applyAlignment="1">
      <alignment vertical="center" wrapText="1"/>
    </xf>
    <xf numFmtId="4" fontId="31" fillId="0" borderId="45" xfId="0" applyNumberFormat="1" applyFont="1" applyFill="1" applyBorder="1" applyAlignment="1">
      <alignment horizontal="justify" vertical="center" wrapText="1"/>
    </xf>
    <xf numFmtId="2" fontId="31" fillId="0" borderId="24" xfId="0" applyNumberFormat="1" applyFont="1" applyFill="1" applyBorder="1" applyAlignment="1" applyProtection="1">
      <alignment horizontal="center" vertical="center"/>
      <protection locked="0"/>
    </xf>
    <xf numFmtId="2" fontId="31" fillId="0" borderId="24" xfId="0" applyNumberFormat="1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4" fontId="18" fillId="24" borderId="24" xfId="0" applyNumberFormat="1" applyFont="1" applyFill="1" applyBorder="1" applyAlignment="1">
      <alignment horizontal="center" vertical="center" wrapText="1"/>
    </xf>
    <xf numFmtId="4" fontId="18" fillId="24" borderId="24" xfId="53" applyNumberFormat="1" applyFont="1" applyFill="1" applyBorder="1" applyAlignment="1" applyProtection="1">
      <alignment horizontal="center" vertical="center" wrapText="1"/>
    </xf>
    <xf numFmtId="0" fontId="18" fillId="24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justify" vertical="center" wrapText="1"/>
    </xf>
    <xf numFmtId="0" fontId="18" fillId="0" borderId="24" xfId="0" applyNumberFormat="1" applyFont="1" applyBorder="1" applyAlignment="1">
      <alignment horizontal="center" vertical="center"/>
    </xf>
    <xf numFmtId="4" fontId="31" fillId="0" borderId="27" xfId="48" applyNumberFormat="1" applyFont="1" applyFill="1" applyBorder="1" applyAlignment="1">
      <alignment horizontal="center" vertical="center"/>
    </xf>
    <xf numFmtId="167" fontId="0" fillId="24" borderId="12" xfId="0" applyNumberFormat="1" applyFont="1" applyFill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4" fontId="41" fillId="4" borderId="58" xfId="48" applyNumberFormat="1" applyFont="1" applyFill="1" applyBorder="1" applyAlignment="1">
      <alignment horizontal="center" vertical="center"/>
    </xf>
    <xf numFmtId="4" fontId="31" fillId="0" borderId="41" xfId="48" applyNumberFormat="1" applyFont="1" applyFill="1" applyBorder="1" applyAlignment="1">
      <alignment horizontal="center" vertical="center"/>
    </xf>
    <xf numFmtId="4" fontId="31" fillId="0" borderId="42" xfId="48" applyNumberFormat="1" applyFont="1" applyBorder="1" applyAlignment="1">
      <alignment horizontal="left" vertical="center"/>
    </xf>
    <xf numFmtId="4" fontId="31" fillId="24" borderId="42" xfId="48" applyNumberFormat="1" applyFont="1" applyFill="1" applyBorder="1" applyAlignment="1">
      <alignment horizontal="center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24" borderId="40" xfId="0" applyFont="1" applyFill="1" applyBorder="1" applyAlignment="1">
      <alignment horizontal="justify" wrapText="1"/>
    </xf>
    <xf numFmtId="0" fontId="0" fillId="24" borderId="10" xfId="0" applyFont="1" applyFill="1" applyBorder="1" applyAlignment="1">
      <alignment horizontal="center" vertical="center"/>
    </xf>
    <xf numFmtId="0" fontId="0" fillId="24" borderId="40" xfId="0" applyFill="1" applyBorder="1" applyAlignment="1">
      <alignment horizontal="left" vertical="center" wrapText="1"/>
    </xf>
    <xf numFmtId="0" fontId="31" fillId="0" borderId="59" xfId="0" applyFont="1" applyBorder="1" applyAlignment="1">
      <alignment horizontal="center" vertical="center"/>
    </xf>
    <xf numFmtId="4" fontId="0" fillId="0" borderId="20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18" fillId="0" borderId="24" xfId="53" applyNumberFormat="1" applyFont="1" applyFill="1" applyBorder="1" applyAlignment="1" applyProtection="1">
      <alignment horizontal="center" vertical="center" wrapText="1"/>
    </xf>
    <xf numFmtId="4" fontId="31" fillId="24" borderId="47" xfId="48" applyNumberFormat="1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top"/>
    </xf>
    <xf numFmtId="0" fontId="18" fillId="24" borderId="24" xfId="0" applyFont="1" applyFill="1" applyBorder="1" applyAlignment="1">
      <alignment horizontal="justify" vertical="center"/>
    </xf>
    <xf numFmtId="0" fontId="21" fillId="24" borderId="24" xfId="0" applyFont="1" applyFill="1" applyBorder="1" applyAlignment="1">
      <alignment horizontal="center" vertical="top"/>
    </xf>
    <xf numFmtId="0" fontId="22" fillId="24" borderId="24" xfId="0" applyFont="1" applyFill="1" applyBorder="1" applyAlignment="1">
      <alignment horizontal="justify" vertical="center"/>
    </xf>
    <xf numFmtId="0" fontId="19" fillId="26" borderId="24" xfId="0" applyFont="1" applyFill="1" applyBorder="1" applyAlignment="1">
      <alignment horizontal="center" vertical="center" wrapText="1"/>
    </xf>
    <xf numFmtId="0" fontId="21" fillId="26" borderId="24" xfId="0" applyFont="1" applyFill="1" applyBorder="1" applyAlignment="1">
      <alignment horizontal="center" vertical="top"/>
    </xf>
    <xf numFmtId="0" fontId="21" fillId="24" borderId="24" xfId="0" applyFont="1" applyFill="1" applyBorder="1" applyAlignment="1">
      <alignment horizontal="justify" vertical="top" wrapText="1"/>
    </xf>
    <xf numFmtId="0" fontId="22" fillId="0" borderId="24" xfId="0" applyFont="1" applyFill="1" applyBorder="1" applyAlignment="1">
      <alignment horizontal="justify" vertical="center"/>
    </xf>
    <xf numFmtId="0" fontId="18" fillId="0" borderId="24" xfId="0" applyFont="1" applyFill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/>
    </xf>
    <xf numFmtId="0" fontId="18" fillId="0" borderId="24" xfId="0" applyNumberFormat="1" applyFont="1" applyBorder="1" applyAlignment="1">
      <alignment horizontal="justify" vertical="center" wrapText="1"/>
    </xf>
    <xf numFmtId="0" fontId="18" fillId="24" borderId="24" xfId="0" applyFont="1" applyFill="1" applyBorder="1" applyAlignment="1">
      <alignment horizontal="justify" vertical="center" wrapText="1"/>
    </xf>
    <xf numFmtId="0" fontId="18" fillId="0" borderId="24" xfId="0" applyFont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right" vertical="center"/>
    </xf>
    <xf numFmtId="4" fontId="31" fillId="0" borderId="60" xfId="48" applyNumberFormat="1" applyFont="1" applyFill="1" applyBorder="1" applyAlignment="1">
      <alignment horizontal="justify" vertical="center" wrapText="1"/>
    </xf>
    <xf numFmtId="4" fontId="31" fillId="0" borderId="49" xfId="48" applyNumberFormat="1" applyFont="1" applyFill="1" applyBorder="1" applyAlignment="1">
      <alignment horizontal="center" vertical="center"/>
    </xf>
    <xf numFmtId="4" fontId="31" fillId="0" borderId="49" xfId="33" applyNumberFormat="1" applyFont="1" applyFill="1" applyBorder="1" applyAlignment="1">
      <alignment horizontal="center" vertical="center"/>
    </xf>
    <xf numFmtId="4" fontId="31" fillId="0" borderId="24" xfId="48" applyNumberFormat="1" applyFont="1" applyFill="1" applyBorder="1" applyAlignment="1">
      <alignment horizontal="justify" vertical="center" wrapText="1"/>
    </xf>
    <xf numFmtId="4" fontId="31" fillId="0" borderId="24" xfId="48" applyNumberFormat="1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justify" vertical="center" wrapText="1"/>
    </xf>
    <xf numFmtId="4" fontId="31" fillId="0" borderId="10" xfId="48" applyNumberFormat="1" applyFont="1" applyFill="1" applyBorder="1" applyAlignment="1">
      <alignment horizontal="left" vertical="center"/>
    </xf>
    <xf numFmtId="4" fontId="18" fillId="0" borderId="24" xfId="0" applyNumberFormat="1" applyFont="1" applyBorder="1" applyAlignment="1">
      <alignment horizontal="center" vertical="center"/>
    </xf>
    <xf numFmtId="4" fontId="37" fillId="4" borderId="32" xfId="0" applyNumberFormat="1" applyFont="1" applyFill="1" applyBorder="1" applyAlignment="1">
      <alignment horizontal="justify" vertical="center"/>
    </xf>
    <xf numFmtId="3" fontId="31" fillId="0" borderId="24" xfId="0" applyNumberFormat="1" applyFont="1" applyFill="1" applyBorder="1" applyAlignment="1">
      <alignment horizontal="justify" vertical="center" wrapText="1"/>
    </xf>
    <xf numFmtId="3" fontId="31" fillId="0" borderId="24" xfId="0" applyNumberFormat="1" applyFont="1" applyFill="1" applyBorder="1" applyAlignment="1">
      <alignment horizontal="justify" vertical="center"/>
    </xf>
    <xf numFmtId="4" fontId="31" fillId="0" borderId="24" xfId="48" applyNumberFormat="1" applyFont="1" applyFill="1" applyBorder="1" applyAlignment="1">
      <alignment horizontal="justify" vertical="center"/>
    </xf>
    <xf numFmtId="0" fontId="31" fillId="0" borderId="24" xfId="0" applyFont="1" applyFill="1" applyBorder="1" applyAlignment="1">
      <alignment horizontal="justify" vertical="center"/>
    </xf>
    <xf numFmtId="4" fontId="31" fillId="24" borderId="24" xfId="48" applyNumberFormat="1" applyFont="1" applyFill="1" applyBorder="1" applyAlignment="1">
      <alignment horizontal="justify" vertical="center"/>
    </xf>
    <xf numFmtId="4" fontId="32" fillId="0" borderId="24" xfId="48" applyNumberFormat="1" applyFont="1" applyFill="1" applyBorder="1" applyAlignment="1">
      <alignment horizontal="justify" vertical="center"/>
    </xf>
    <xf numFmtId="4" fontId="31" fillId="0" borderId="24" xfId="0" applyNumberFormat="1" applyFont="1" applyFill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/>
    </xf>
    <xf numFmtId="4" fontId="31" fillId="0" borderId="24" xfId="48" applyNumberFormat="1" applyFont="1" applyBorder="1" applyAlignment="1">
      <alignment horizontal="justify" vertical="center"/>
    </xf>
    <xf numFmtId="4" fontId="31" fillId="0" borderId="24" xfId="0" applyNumberFormat="1" applyFont="1" applyBorder="1" applyAlignment="1">
      <alignment horizontal="justify" vertical="center" wrapText="1"/>
    </xf>
    <xf numFmtId="4" fontId="31" fillId="0" borderId="24" xfId="48" applyNumberFormat="1" applyFont="1" applyBorder="1" applyAlignment="1">
      <alignment horizontal="justify" vertical="center" wrapText="1"/>
    </xf>
    <xf numFmtId="0" fontId="31" fillId="0" borderId="24" xfId="0" applyFont="1" applyBorder="1" applyAlignment="1">
      <alignment horizontal="justify" vertical="center" wrapText="1"/>
    </xf>
    <xf numFmtId="4" fontId="31" fillId="24" borderId="24" xfId="33" applyNumberFormat="1" applyFont="1" applyFill="1" applyBorder="1" applyAlignment="1">
      <alignment horizontal="justify" vertical="center" wrapText="1"/>
    </xf>
    <xf numFmtId="4" fontId="41" fillId="4" borderId="61" xfId="48" applyNumberFormat="1" applyFont="1" applyFill="1" applyBorder="1" applyAlignment="1">
      <alignment horizontal="center" vertical="center"/>
    </xf>
    <xf numFmtId="4" fontId="31" fillId="24" borderId="45" xfId="48" applyNumberFormat="1" applyFont="1" applyFill="1" applyBorder="1" applyAlignment="1">
      <alignment horizontal="justify" vertical="center"/>
    </xf>
    <xf numFmtId="0" fontId="31" fillId="0" borderId="45" xfId="0" applyFont="1" applyBorder="1" applyAlignment="1">
      <alignment horizontal="justify" vertical="center"/>
    </xf>
    <xf numFmtId="0" fontId="31" fillId="0" borderId="45" xfId="0" applyFont="1" applyFill="1" applyBorder="1" applyAlignment="1">
      <alignment horizontal="justify" vertical="center"/>
    </xf>
    <xf numFmtId="4" fontId="18" fillId="0" borderId="24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41" fillId="4" borderId="62" xfId="48" applyFont="1" applyFill="1" applyBorder="1" applyAlignment="1">
      <alignment horizontal="center" vertical="center"/>
    </xf>
    <xf numFmtId="3" fontId="41" fillId="4" borderId="63" xfId="48" applyFont="1" applyFill="1" applyBorder="1" applyAlignment="1">
      <alignment horizontal="center" vertical="center"/>
    </xf>
    <xf numFmtId="4" fontId="0" fillId="0" borderId="0" xfId="0" applyNumberFormat="1"/>
    <xf numFmtId="3" fontId="31" fillId="0" borderId="10" xfId="0" applyNumberFormat="1" applyFont="1" applyFill="1" applyBorder="1" applyAlignment="1">
      <alignment horizontal="left" vertical="center"/>
    </xf>
    <xf numFmtId="3" fontId="31" fillId="0" borderId="64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 wrapText="1"/>
    </xf>
    <xf numFmtId="170" fontId="31" fillId="0" borderId="12" xfId="0" applyNumberFormat="1" applyFont="1" applyFill="1" applyBorder="1" applyAlignment="1">
      <alignment horizontal="center" vertical="center" wrapText="1"/>
    </xf>
    <xf numFmtId="170" fontId="31" fillId="0" borderId="20" xfId="0" applyNumberFormat="1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vertical="center" wrapText="1"/>
    </xf>
    <xf numFmtId="3" fontId="31" fillId="0" borderId="4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31" fillId="0" borderId="15" xfId="0" applyNumberFormat="1" applyFont="1" applyFill="1" applyBorder="1" applyAlignment="1">
      <alignment horizontal="justify" vertical="center" wrapText="1"/>
    </xf>
    <xf numFmtId="3" fontId="31" fillId="0" borderId="12" xfId="0" applyNumberFormat="1" applyFont="1" applyFill="1" applyBorder="1" applyAlignment="1">
      <alignment horizontal="center" vertical="center"/>
    </xf>
    <xf numFmtId="167" fontId="31" fillId="0" borderId="32" xfId="0" applyNumberFormat="1" applyFont="1" applyFill="1" applyBorder="1" applyAlignment="1">
      <alignment horizontal="center" vertical="center"/>
    </xf>
    <xf numFmtId="167" fontId="31" fillId="0" borderId="24" xfId="0" applyNumberFormat="1" applyFont="1" applyFill="1" applyBorder="1" applyAlignment="1">
      <alignment horizontal="center" vertical="center"/>
    </xf>
    <xf numFmtId="170" fontId="31" fillId="0" borderId="2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2" fontId="31" fillId="0" borderId="12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" fontId="31" fillId="0" borderId="46" xfId="0" applyNumberFormat="1" applyFont="1" applyFill="1" applyBorder="1" applyAlignment="1">
      <alignment horizontal="center" vertical="center"/>
    </xf>
    <xf numFmtId="178" fontId="0" fillId="0" borderId="0" xfId="0" applyNumberFormat="1"/>
    <xf numFmtId="3" fontId="31" fillId="0" borderId="65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center" vertical="center"/>
    </xf>
    <xf numFmtId="170" fontId="31" fillId="0" borderId="20" xfId="0" applyNumberFormat="1" applyFont="1" applyFill="1" applyBorder="1" applyAlignment="1">
      <alignment horizontal="right" vertical="center"/>
    </xf>
    <xf numFmtId="3" fontId="31" fillId="0" borderId="41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 wrapText="1"/>
    </xf>
    <xf numFmtId="167" fontId="31" fillId="0" borderId="12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right" vertical="center"/>
    </xf>
    <xf numFmtId="4" fontId="31" fillId="27" borderId="12" xfId="0" applyNumberFormat="1" applyFont="1" applyFill="1" applyBorder="1" applyAlignment="1">
      <alignment horizontal="center" vertical="center"/>
    </xf>
    <xf numFmtId="4" fontId="31" fillId="0" borderId="41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/>
    </xf>
    <xf numFmtId="3" fontId="31" fillId="0" borderId="32" xfId="0" applyNumberFormat="1" applyFont="1" applyFill="1" applyBorder="1" applyAlignment="1">
      <alignment horizontal="left" vertical="center" wrapText="1"/>
    </xf>
    <xf numFmtId="3" fontId="31" fillId="0" borderId="28" xfId="0" applyNumberFormat="1" applyFont="1" applyFill="1" applyBorder="1" applyAlignment="1">
      <alignment horizontal="center" vertical="center"/>
    </xf>
    <xf numFmtId="167" fontId="31" fillId="0" borderId="28" xfId="0" applyNumberFormat="1" applyFont="1" applyFill="1" applyBorder="1" applyAlignment="1">
      <alignment horizontal="center" vertical="center"/>
    </xf>
    <xf numFmtId="170" fontId="31" fillId="0" borderId="28" xfId="0" applyNumberFormat="1" applyFont="1" applyFill="1" applyBorder="1" applyAlignment="1">
      <alignment horizontal="right" vertical="center"/>
    </xf>
    <xf numFmtId="4" fontId="31" fillId="27" borderId="28" xfId="0" applyNumberFormat="1" applyFont="1" applyFill="1" applyBorder="1" applyAlignment="1">
      <alignment horizontal="center" vertical="center"/>
    </xf>
    <xf numFmtId="3" fontId="31" fillId="0" borderId="42" xfId="0" applyNumberFormat="1" applyFont="1" applyFill="1" applyBorder="1" applyAlignment="1">
      <alignment horizontal="center" vertical="center"/>
    </xf>
    <xf numFmtId="3" fontId="31" fillId="0" borderId="12" xfId="0" applyNumberFormat="1" applyFont="1" applyFill="1" applyBorder="1" applyAlignment="1">
      <alignment horizontal="right" vertical="center"/>
    </xf>
    <xf numFmtId="3" fontId="31" fillId="0" borderId="12" xfId="0" applyNumberFormat="1" applyFont="1" applyFill="1" applyBorder="1" applyAlignment="1">
      <alignment horizontal="left" vertical="center"/>
    </xf>
    <xf numFmtId="178" fontId="31" fillId="0" borderId="12" xfId="0" applyNumberFormat="1" applyFont="1" applyFill="1" applyBorder="1" applyAlignment="1">
      <alignment horizontal="center" vertical="center"/>
    </xf>
    <xf numFmtId="3" fontId="31" fillId="0" borderId="40" xfId="0" applyNumberFormat="1" applyFont="1" applyFill="1" applyBorder="1" applyAlignment="1">
      <alignment horizontal="center" vertical="center"/>
    </xf>
    <xf numFmtId="170" fontId="31" fillId="0" borderId="12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/>
    </xf>
    <xf numFmtId="3" fontId="31" fillId="0" borderId="12" xfId="0" applyNumberFormat="1" applyFont="1" applyFill="1" applyBorder="1" applyAlignment="1">
      <alignment horizontal="center"/>
    </xf>
    <xf numFmtId="167" fontId="31" fillId="0" borderId="12" xfId="0" applyNumberFormat="1" applyFont="1" applyFill="1" applyBorder="1" applyAlignment="1">
      <alignment horizontal="center"/>
    </xf>
    <xf numFmtId="3" fontId="31" fillId="0" borderId="50" xfId="0" applyNumberFormat="1" applyFont="1" applyFill="1" applyBorder="1" applyAlignment="1">
      <alignment horizontal="right" vertical="center"/>
    </xf>
    <xf numFmtId="178" fontId="31" fillId="0" borderId="12" xfId="0" applyNumberFormat="1" applyFont="1" applyFill="1" applyBorder="1" applyAlignment="1">
      <alignment horizontal="right" vertical="center"/>
    </xf>
    <xf numFmtId="2" fontId="31" fillId="0" borderId="40" xfId="0" applyNumberFormat="1" applyFont="1" applyFill="1" applyBorder="1" applyAlignment="1">
      <alignment horizontal="right" vertical="center"/>
    </xf>
    <xf numFmtId="2" fontId="31" fillId="0" borderId="24" xfId="0" applyNumberFormat="1" applyFont="1" applyFill="1" applyBorder="1" applyAlignment="1">
      <alignment vertical="center"/>
    </xf>
    <xf numFmtId="4" fontId="31" fillId="0" borderId="0" xfId="0" applyNumberFormat="1" applyFont="1" applyFill="1" applyBorder="1"/>
    <xf numFmtId="10" fontId="33" fillId="0" borderId="0" xfId="0" applyNumberFormat="1" applyFont="1" applyFill="1" applyBorder="1" applyAlignment="1">
      <alignment horizontal="center"/>
    </xf>
    <xf numFmtId="4" fontId="31" fillId="0" borderId="0" xfId="0" applyNumberFormat="1" applyFont="1" applyFill="1" applyBorder="1" applyAlignment="1" applyProtection="1">
      <alignment horizontal="right"/>
      <protection locked="0"/>
    </xf>
    <xf numFmtId="3" fontId="31" fillId="0" borderId="0" xfId="0" applyNumberFormat="1" applyFont="1" applyFill="1" applyBorder="1"/>
    <xf numFmtId="3" fontId="31" fillId="0" borderId="0" xfId="0" applyNumberFormat="1" applyFont="1" applyBorder="1"/>
    <xf numFmtId="4" fontId="31" fillId="0" borderId="0" xfId="0" applyNumberFormat="1" applyFont="1" applyFill="1" applyBorder="1" applyAlignment="1">
      <alignment vertical="center"/>
    </xf>
    <xf numFmtId="10" fontId="31" fillId="0" borderId="0" xfId="0" applyNumberFormat="1" applyFont="1" applyFill="1" applyBorder="1" applyAlignment="1">
      <alignment horizontal="center"/>
    </xf>
    <xf numFmtId="3" fontId="31" fillId="0" borderId="27" xfId="0" applyNumberFormat="1" applyFont="1" applyFill="1" applyBorder="1" applyAlignment="1">
      <alignment horizontal="left" vertical="center" wrapText="1"/>
    </xf>
    <xf numFmtId="3" fontId="31" fillId="0" borderId="12" xfId="0" applyNumberFormat="1" applyFont="1" applyFill="1" applyBorder="1" applyAlignment="1">
      <alignment horizontal="justify" vertical="center" wrapText="1"/>
    </xf>
    <xf numFmtId="4" fontId="31" fillId="0" borderId="28" xfId="0" applyNumberFormat="1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left" vertical="center"/>
    </xf>
    <xf numFmtId="167" fontId="0" fillId="24" borderId="15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0" fillId="24" borderId="42" xfId="0" applyFont="1" applyFill="1" applyBorder="1" applyAlignment="1">
      <alignment horizontal="left" vertical="center"/>
    </xf>
    <xf numFmtId="0" fontId="0" fillId="24" borderId="12" xfId="0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left" vertical="center"/>
    </xf>
    <xf numFmtId="3" fontId="31" fillId="24" borderId="12" xfId="0" applyNumberFormat="1" applyFont="1" applyFill="1" applyBorder="1" applyAlignment="1">
      <alignment horizontal="center" vertical="center"/>
    </xf>
    <xf numFmtId="167" fontId="31" fillId="24" borderId="12" xfId="0" applyNumberFormat="1" applyFont="1" applyFill="1" applyBorder="1" applyAlignment="1">
      <alignment horizontal="center" vertical="center"/>
    </xf>
    <xf numFmtId="3" fontId="31" fillId="24" borderId="42" xfId="0" applyNumberFormat="1" applyFont="1" applyFill="1" applyBorder="1" applyAlignment="1">
      <alignment horizontal="justify" vertical="center" wrapText="1"/>
    </xf>
    <xf numFmtId="3" fontId="31" fillId="24" borderId="40" xfId="0" applyNumberFormat="1" applyFont="1" applyFill="1" applyBorder="1" applyAlignment="1">
      <alignment horizontal="left" vertical="center"/>
    </xf>
    <xf numFmtId="4" fontId="31" fillId="0" borderId="0" xfId="0" applyNumberFormat="1" applyFont="1" applyAlignment="1">
      <alignment horizontal="center" vertical="center"/>
    </xf>
    <xf numFmtId="3" fontId="31" fillId="24" borderId="27" xfId="0" applyNumberFormat="1" applyFont="1" applyFill="1" applyBorder="1" applyAlignment="1">
      <alignment horizontal="center" vertical="center"/>
    </xf>
    <xf numFmtId="167" fontId="31" fillId="24" borderId="27" xfId="0" applyNumberFormat="1" applyFont="1" applyFill="1" applyBorder="1" applyAlignment="1">
      <alignment horizontal="center" vertical="center"/>
    </xf>
    <xf numFmtId="3" fontId="31" fillId="24" borderId="26" xfId="0" applyNumberFormat="1" applyFont="1" applyFill="1" applyBorder="1" applyAlignment="1">
      <alignment horizontal="center" vertical="center"/>
    </xf>
    <xf numFmtId="4" fontId="31" fillId="0" borderId="24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vertical="top" wrapText="1"/>
    </xf>
    <xf numFmtId="4" fontId="31" fillId="0" borderId="11" xfId="48" applyNumberFormat="1" applyFont="1" applyFill="1" applyBorder="1" applyAlignment="1">
      <alignment wrapText="1"/>
    </xf>
    <xf numFmtId="3" fontId="31" fillId="0" borderId="42" xfId="0" applyNumberFormat="1" applyFont="1" applyFill="1" applyBorder="1" applyAlignment="1">
      <alignment horizontal="justify" vertical="center" wrapText="1"/>
    </xf>
    <xf numFmtId="0" fontId="19" fillId="0" borderId="24" xfId="0" applyFont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4" fontId="41" fillId="4" borderId="66" xfId="48" applyNumberFormat="1" applyFont="1" applyFill="1" applyBorder="1" applyAlignment="1">
      <alignment horizontal="center" vertical="center"/>
    </xf>
    <xf numFmtId="4" fontId="31" fillId="24" borderId="27" xfId="33" applyNumberFormat="1" applyFont="1" applyFill="1" applyBorder="1" applyAlignment="1">
      <alignment horizontal="center" vertical="center"/>
    </xf>
    <xf numFmtId="4" fontId="31" fillId="0" borderId="0" xfId="0" applyNumberFormat="1" applyFont="1" applyFill="1" applyAlignment="1">
      <alignment horizontal="center"/>
    </xf>
    <xf numFmtId="0" fontId="19" fillId="0" borderId="24" xfId="0" applyFont="1" applyFill="1" applyBorder="1" applyAlignment="1">
      <alignment horizontal="center" vertical="center"/>
    </xf>
    <xf numFmtId="0" fontId="18" fillId="28" borderId="24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top"/>
    </xf>
    <xf numFmtId="0" fontId="18" fillId="0" borderId="24" xfId="0" applyNumberFormat="1" applyFont="1" applyFill="1" applyBorder="1" applyAlignment="1">
      <alignment horizontal="justify" vertical="center" wrapText="1"/>
    </xf>
    <xf numFmtId="0" fontId="18" fillId="0" borderId="24" xfId="0" applyNumberFormat="1" applyFont="1" applyFill="1" applyBorder="1" applyAlignment="1">
      <alignment horizontal="center" vertical="center"/>
    </xf>
    <xf numFmtId="0" fontId="31" fillId="0" borderId="67" xfId="0" applyFont="1" applyBorder="1" applyAlignment="1">
      <alignment horizontal="center" vertical="center"/>
    </xf>
    <xf numFmtId="2" fontId="31" fillId="0" borderId="67" xfId="0" applyNumberFormat="1" applyFont="1" applyFill="1" applyBorder="1" applyAlignment="1">
      <alignment horizontal="center" vertical="center"/>
    </xf>
    <xf numFmtId="0" fontId="18" fillId="28" borderId="0" xfId="0" applyFont="1" applyFill="1" applyBorder="1" applyAlignment="1">
      <alignment vertical="top" wrapText="1"/>
    </xf>
    <xf numFmtId="165" fontId="36" fillId="28" borderId="0" xfId="53" applyFont="1" applyFill="1" applyBorder="1" applyAlignment="1">
      <alignment vertical="center" wrapText="1"/>
    </xf>
    <xf numFmtId="165" fontId="39" fillId="28" borderId="0" xfId="53" applyFill="1" applyBorder="1" applyAlignment="1">
      <alignment vertical="center" wrapText="1"/>
    </xf>
    <xf numFmtId="4" fontId="31" fillId="0" borderId="46" xfId="48" applyNumberFormat="1" applyFont="1" applyFill="1" applyBorder="1" applyAlignment="1">
      <alignment horizontal="center" vertical="center"/>
    </xf>
    <xf numFmtId="4" fontId="31" fillId="0" borderId="48" xfId="48" applyNumberFormat="1" applyFont="1" applyFill="1" applyBorder="1" applyAlignment="1">
      <alignment horizontal="right" vertical="center"/>
    </xf>
    <xf numFmtId="4" fontId="31" fillId="0" borderId="30" xfId="48" applyNumberFormat="1" applyFont="1" applyFill="1" applyBorder="1" applyAlignment="1">
      <alignment horizontal="center" vertical="center"/>
    </xf>
    <xf numFmtId="4" fontId="31" fillId="0" borderId="40" xfId="48" applyNumberFormat="1" applyFont="1" applyFill="1" applyBorder="1" applyAlignment="1">
      <alignment horizontal="right" vertical="center"/>
    </xf>
    <xf numFmtId="4" fontId="31" fillId="0" borderId="26" xfId="48" applyNumberFormat="1" applyFont="1" applyFill="1" applyBorder="1" applyAlignment="1">
      <alignment horizontal="left" vertical="center"/>
    </xf>
    <xf numFmtId="4" fontId="31" fillId="0" borderId="26" xfId="48" applyNumberFormat="1" applyFont="1" applyFill="1" applyBorder="1" applyAlignment="1">
      <alignment vertical="center"/>
    </xf>
    <xf numFmtId="4" fontId="31" fillId="0" borderId="27" xfId="48" applyNumberFormat="1" applyFont="1" applyFill="1" applyBorder="1" applyAlignment="1">
      <alignment vertical="center"/>
    </xf>
    <xf numFmtId="2" fontId="31" fillId="0" borderId="0" xfId="0" applyNumberFormat="1" applyFont="1" applyFill="1"/>
    <xf numFmtId="2" fontId="31" fillId="0" borderId="0" xfId="0" applyNumberFormat="1" applyFont="1" applyFill="1" applyAlignment="1">
      <alignment vertical="center"/>
    </xf>
    <xf numFmtId="49" fontId="19" fillId="24" borderId="24" xfId="0" applyNumberFormat="1" applyFont="1" applyFill="1" applyBorder="1" applyAlignment="1">
      <alignment horizontal="center" vertical="center"/>
    </xf>
    <xf numFmtId="0" fontId="18" fillId="0" borderId="24" xfId="39" applyFont="1" applyFill="1" applyBorder="1" applyAlignment="1">
      <alignment horizontal="justify" vertical="center" wrapText="1"/>
    </xf>
    <xf numFmtId="2" fontId="31" fillId="0" borderId="0" xfId="0" applyNumberFormat="1" applyFont="1"/>
    <xf numFmtId="0" fontId="38" fillId="0" borderId="0" xfId="0" applyFont="1"/>
    <xf numFmtId="10" fontId="31" fillId="0" borderId="0" xfId="0" applyNumberFormat="1" applyFont="1"/>
    <xf numFmtId="2" fontId="31" fillId="0" borderId="0" xfId="0" applyNumberFormat="1" applyFont="1" applyAlignment="1">
      <alignment vertical="center"/>
    </xf>
    <xf numFmtId="165" fontId="31" fillId="0" borderId="0" xfId="53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Fill="1" applyAlignment="1">
      <alignment vertical="center"/>
    </xf>
    <xf numFmtId="0" fontId="38" fillId="0" borderId="0" xfId="0" applyFont="1" applyAlignment="1">
      <alignment vertical="center"/>
    </xf>
    <xf numFmtId="2" fontId="34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38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2" fontId="48" fillId="0" borderId="0" xfId="0" applyNumberFormat="1" applyFont="1" applyFill="1" applyAlignment="1">
      <alignment vertical="center"/>
    </xf>
    <xf numFmtId="0" fontId="31" fillId="24" borderId="24" xfId="0" applyFont="1" applyFill="1" applyBorder="1" applyAlignment="1">
      <alignment horizontal="justify" vertical="center" wrapText="1"/>
    </xf>
    <xf numFmtId="0" fontId="31" fillId="24" borderId="32" xfId="0" applyFont="1" applyFill="1" applyBorder="1" applyAlignment="1">
      <alignment horizontal="center" vertical="center"/>
    </xf>
    <xf numFmtId="0" fontId="49" fillId="0" borderId="0" xfId="0" applyFont="1" applyAlignment="1">
      <alignment vertical="center"/>
    </xf>
    <xf numFmtId="2" fontId="31" fillId="0" borderId="68" xfId="0" applyNumberFormat="1" applyFont="1" applyFill="1" applyBorder="1" applyAlignment="1">
      <alignment vertical="center"/>
    </xf>
    <xf numFmtId="2" fontId="34" fillId="0" borderId="0" xfId="0" applyNumberFormat="1" applyFont="1" applyFill="1" applyAlignment="1">
      <alignment vertical="center"/>
    </xf>
    <xf numFmtId="2" fontId="31" fillId="0" borderId="0" xfId="0" applyNumberFormat="1" applyFont="1" applyFill="1" applyBorder="1" applyAlignment="1">
      <alignment vertical="center"/>
    </xf>
    <xf numFmtId="4" fontId="34" fillId="0" borderId="0" xfId="0" applyNumberFormat="1" applyFont="1" applyAlignment="1">
      <alignment vertical="center"/>
    </xf>
    <xf numFmtId="14" fontId="31" fillId="0" borderId="0" xfId="0" applyNumberFormat="1" applyFont="1" applyAlignment="1">
      <alignment vertical="center"/>
    </xf>
    <xf numFmtId="169" fontId="31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/>
    </xf>
    <xf numFmtId="2" fontId="31" fillId="0" borderId="0" xfId="0" applyNumberFormat="1" applyFont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3" fontId="31" fillId="0" borderId="32" xfId="0" applyNumberFormat="1" applyFont="1" applyFill="1" applyBorder="1" applyAlignment="1">
      <alignment horizontal="justify" vertical="center" wrapText="1"/>
    </xf>
    <xf numFmtId="3" fontId="31" fillId="0" borderId="0" xfId="0" applyNumberFormat="1" applyFont="1" applyFill="1" applyAlignment="1">
      <alignment horizontal="center"/>
    </xf>
    <xf numFmtId="3" fontId="31" fillId="0" borderId="0" xfId="0" applyNumberFormat="1" applyFont="1" applyAlignment="1">
      <alignment horizontal="justify"/>
    </xf>
    <xf numFmtId="3" fontId="31" fillId="0" borderId="0" xfId="0" applyNumberFormat="1" applyFont="1" applyAlignment="1">
      <alignment horizontal="center"/>
    </xf>
    <xf numFmtId="4" fontId="31" fillId="4" borderId="10" xfId="0" applyNumberFormat="1" applyFont="1" applyFill="1" applyBorder="1" applyAlignment="1">
      <alignment horizontal="center"/>
    </xf>
    <xf numFmtId="4" fontId="31" fillId="4" borderId="32" xfId="0" applyNumberFormat="1" applyFont="1" applyFill="1" applyBorder="1" applyAlignment="1">
      <alignment horizontal="center"/>
    </xf>
    <xf numFmtId="3" fontId="31" fillId="4" borderId="19" xfId="0" applyNumberFormat="1" applyFont="1" applyFill="1" applyBorder="1" applyAlignment="1">
      <alignment horizontal="center"/>
    </xf>
    <xf numFmtId="3" fontId="31" fillId="24" borderId="0" xfId="0" applyNumberFormat="1" applyFont="1" applyFill="1" applyAlignment="1">
      <alignment horizontal="justify"/>
    </xf>
    <xf numFmtId="3" fontId="31" fillId="24" borderId="0" xfId="0" applyNumberFormat="1" applyFont="1" applyFill="1" applyAlignment="1">
      <alignment horizontal="center"/>
    </xf>
    <xf numFmtId="0" fontId="31" fillId="0" borderId="31" xfId="0" applyFont="1" applyBorder="1" applyAlignment="1">
      <alignment vertical="center"/>
    </xf>
    <xf numFmtId="0" fontId="31" fillId="0" borderId="31" xfId="0" applyFont="1" applyFill="1" applyBorder="1" applyAlignment="1">
      <alignment vertical="center"/>
    </xf>
    <xf numFmtId="0" fontId="31" fillId="0" borderId="6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47" fillId="4" borderId="70" xfId="0" applyNumberFormat="1" applyFont="1" applyFill="1" applyBorder="1" applyAlignment="1">
      <alignment horizontal="center"/>
    </xf>
    <xf numFmtId="3" fontId="47" fillId="4" borderId="71" xfId="0" applyNumberFormat="1" applyFont="1" applyFill="1" applyBorder="1" applyAlignment="1">
      <alignment horizontal="center"/>
    </xf>
    <xf numFmtId="3" fontId="47" fillId="4" borderId="72" xfId="0" applyNumberFormat="1" applyFont="1" applyFill="1" applyBorder="1" applyAlignment="1">
      <alignment horizontal="justify"/>
    </xf>
    <xf numFmtId="3" fontId="47" fillId="4" borderId="24" xfId="0" applyNumberFormat="1" applyFont="1" applyFill="1" applyBorder="1" applyAlignment="1">
      <alignment horizontal="center"/>
    </xf>
    <xf numFmtId="4" fontId="41" fillId="4" borderId="73" xfId="48" applyNumberFormat="1" applyFont="1" applyFill="1" applyBorder="1" applyAlignment="1">
      <alignment horizontal="center" vertical="center"/>
    </xf>
    <xf numFmtId="4" fontId="41" fillId="4" borderId="74" xfId="48" applyNumberFormat="1" applyFont="1" applyFill="1" applyBorder="1" applyAlignment="1">
      <alignment horizontal="center" vertical="center"/>
    </xf>
    <xf numFmtId="2" fontId="31" fillId="0" borderId="0" xfId="0" applyNumberFormat="1" applyFont="1" applyFill="1" applyAlignment="1">
      <alignment horizontal="center"/>
    </xf>
    <xf numFmtId="2" fontId="31" fillId="4" borderId="32" xfId="0" applyNumberFormat="1" applyFont="1" applyFill="1" applyBorder="1" applyAlignment="1" applyProtection="1">
      <alignment horizontal="center"/>
      <protection locked="0"/>
    </xf>
    <xf numFmtId="2" fontId="47" fillId="4" borderId="71" xfId="0" applyNumberFormat="1" applyFont="1" applyFill="1" applyBorder="1" applyAlignment="1">
      <alignment horizontal="center"/>
    </xf>
    <xf numFmtId="2" fontId="31" fillId="0" borderId="24" xfId="53" applyNumberFormat="1" applyFont="1" applyFill="1" applyBorder="1" applyAlignment="1">
      <alignment horizontal="center" vertical="center"/>
    </xf>
    <xf numFmtId="0" fontId="31" fillId="0" borderId="0" xfId="0" applyNumberFormat="1" applyFont="1"/>
    <xf numFmtId="0" fontId="45" fillId="26" borderId="59" xfId="0" applyFont="1" applyFill="1" applyBorder="1" applyAlignment="1">
      <alignment vertical="center"/>
    </xf>
    <xf numFmtId="0" fontId="45" fillId="26" borderId="75" xfId="0" applyFont="1" applyFill="1" applyBorder="1" applyAlignment="1">
      <alignment vertical="center"/>
    </xf>
    <xf numFmtId="0" fontId="19" fillId="29" borderId="24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top"/>
    </xf>
    <xf numFmtId="4" fontId="19" fillId="29" borderId="24" xfId="53" applyNumberFormat="1" applyFont="1" applyFill="1" applyBorder="1" applyAlignment="1" applyProtection="1">
      <alignment horizontal="center" vertical="center" wrapText="1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0" fontId="19" fillId="0" borderId="24" xfId="0" applyFont="1" applyBorder="1" applyAlignment="1">
      <alignment horizontal="center" vertical="center" wrapText="1"/>
    </xf>
    <xf numFmtId="0" fontId="19" fillId="0" borderId="76" xfId="0" applyFont="1" applyFill="1" applyBorder="1" applyAlignment="1">
      <alignment horizontal="center" vertical="center"/>
    </xf>
    <xf numFmtId="0" fontId="18" fillId="0" borderId="45" xfId="39" applyFont="1" applyFill="1" applyBorder="1" applyAlignment="1">
      <alignment horizontal="justify" vertical="center" wrapText="1"/>
    </xf>
    <xf numFmtId="0" fontId="18" fillId="0" borderId="77" xfId="39" applyFont="1" applyFill="1" applyBorder="1" applyAlignment="1">
      <alignment horizontal="justify" vertical="center" wrapText="1"/>
    </xf>
    <xf numFmtId="0" fontId="45" fillId="26" borderId="64" xfId="0" applyFont="1" applyFill="1" applyBorder="1" applyAlignment="1">
      <alignment vertical="center"/>
    </xf>
    <xf numFmtId="0" fontId="19" fillId="0" borderId="78" xfId="0" applyFont="1" applyFill="1" applyBorder="1" applyAlignment="1">
      <alignment horizontal="center" vertical="center"/>
    </xf>
    <xf numFmtId="0" fontId="31" fillId="30" borderId="31" xfId="0" applyFont="1" applyFill="1" applyBorder="1" applyAlignment="1">
      <alignment vertical="center"/>
    </xf>
    <xf numFmtId="2" fontId="31" fillId="30" borderId="0" xfId="0" applyNumberFormat="1" applyFont="1" applyFill="1" applyAlignment="1">
      <alignment vertical="center"/>
    </xf>
    <xf numFmtId="0" fontId="31" fillId="30" borderId="0" xfId="0" applyFont="1" applyFill="1" applyAlignment="1">
      <alignment vertical="center"/>
    </xf>
    <xf numFmtId="0" fontId="38" fillId="30" borderId="0" xfId="0" applyFont="1" applyFill="1" applyAlignment="1">
      <alignment vertical="center"/>
    </xf>
    <xf numFmtId="4" fontId="31" fillId="0" borderId="24" xfId="0" applyNumberFormat="1" applyFont="1" applyFill="1" applyBorder="1" applyAlignment="1" applyProtection="1">
      <alignment horizontal="center" vertical="center"/>
      <protection locked="0"/>
    </xf>
    <xf numFmtId="4" fontId="31" fillId="30" borderId="0" xfId="0" applyNumberFormat="1" applyFont="1" applyFill="1" applyAlignment="1">
      <alignment vertical="center"/>
    </xf>
    <xf numFmtId="2" fontId="34" fillId="30" borderId="0" xfId="0" applyNumberFormat="1" applyFont="1" applyFill="1" applyAlignment="1">
      <alignment vertical="center"/>
    </xf>
    <xf numFmtId="0" fontId="33" fillId="30" borderId="0" xfId="0" applyFont="1" applyFill="1" applyAlignment="1">
      <alignment vertical="center"/>
    </xf>
    <xf numFmtId="0" fontId="38" fillId="30" borderId="0" xfId="0" applyFont="1" applyFill="1" applyBorder="1" applyAlignment="1">
      <alignment horizontal="center" vertical="center"/>
    </xf>
    <xf numFmtId="0" fontId="31" fillId="30" borderId="0" xfId="0" applyFont="1" applyFill="1" applyAlignment="1">
      <alignment horizontal="center" vertical="center"/>
    </xf>
    <xf numFmtId="4" fontId="34" fillId="30" borderId="0" xfId="0" applyNumberFormat="1" applyFont="1" applyFill="1" applyAlignment="1">
      <alignment vertical="center"/>
    </xf>
    <xf numFmtId="14" fontId="31" fillId="30" borderId="0" xfId="0" applyNumberFormat="1" applyFont="1" applyFill="1" applyAlignment="1">
      <alignment vertical="center"/>
    </xf>
    <xf numFmtId="3" fontId="31" fillId="31" borderId="24" xfId="0" applyNumberFormat="1" applyFont="1" applyFill="1" applyBorder="1" applyAlignment="1">
      <alignment horizontal="justify" vertical="center"/>
    </xf>
    <xf numFmtId="3" fontId="31" fillId="31" borderId="24" xfId="0" applyNumberFormat="1" applyFont="1" applyFill="1" applyBorder="1" applyAlignment="1">
      <alignment horizontal="center" vertical="center"/>
    </xf>
    <xf numFmtId="2" fontId="31" fillId="31" borderId="24" xfId="0" applyNumberFormat="1" applyFont="1" applyFill="1" applyBorder="1" applyAlignment="1" applyProtection="1">
      <alignment horizontal="center" vertical="center"/>
      <protection locked="0"/>
    </xf>
    <xf numFmtId="1" fontId="31" fillId="31" borderId="24" xfId="0" applyNumberFormat="1" applyFont="1" applyFill="1" applyBorder="1" applyAlignment="1">
      <alignment horizontal="center" vertical="center"/>
    </xf>
    <xf numFmtId="2" fontId="31" fillId="30" borderId="0" xfId="0" applyNumberFormat="1" applyFont="1" applyFill="1" applyBorder="1" applyAlignment="1">
      <alignment vertical="center"/>
    </xf>
    <xf numFmtId="0" fontId="31" fillId="30" borderId="0" xfId="0" applyFont="1" applyFill="1" applyBorder="1" applyAlignment="1">
      <alignment vertical="center"/>
    </xf>
    <xf numFmtId="0" fontId="31" fillId="30" borderId="69" xfId="0" applyFont="1" applyFill="1" applyBorder="1" applyAlignment="1">
      <alignment vertical="center"/>
    </xf>
    <xf numFmtId="4" fontId="31" fillId="0" borderId="24" xfId="53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center" vertical="center"/>
    </xf>
    <xf numFmtId="4" fontId="31" fillId="31" borderId="24" xfId="48" applyNumberFormat="1" applyFont="1" applyFill="1" applyBorder="1" applyAlignment="1">
      <alignment horizontal="justify" vertical="center" wrapText="1"/>
    </xf>
    <xf numFmtId="2" fontId="31" fillId="31" borderId="24" xfId="0" applyNumberFormat="1" applyFont="1" applyFill="1" applyBorder="1" applyAlignment="1">
      <alignment horizontal="center" vertical="center"/>
    </xf>
    <xf numFmtId="0" fontId="31" fillId="31" borderId="59" xfId="0" applyFont="1" applyFill="1" applyBorder="1" applyAlignment="1">
      <alignment horizontal="center" vertical="center"/>
    </xf>
    <xf numFmtId="0" fontId="31" fillId="32" borderId="24" xfId="0" applyFont="1" applyFill="1" applyBorder="1" applyAlignment="1">
      <alignment horizontal="justify" vertical="center" wrapText="1"/>
    </xf>
    <xf numFmtId="0" fontId="31" fillId="32" borderId="32" xfId="0" applyFont="1" applyFill="1" applyBorder="1" applyAlignment="1">
      <alignment horizontal="center" vertical="center"/>
    </xf>
    <xf numFmtId="168" fontId="31" fillId="31" borderId="24" xfId="0" applyNumberFormat="1" applyFont="1" applyFill="1" applyBorder="1" applyAlignment="1">
      <alignment horizontal="center" vertical="center"/>
    </xf>
    <xf numFmtId="0" fontId="31" fillId="31" borderId="24" xfId="0" applyFont="1" applyFill="1" applyBorder="1" applyAlignment="1">
      <alignment horizontal="justify" vertical="center"/>
    </xf>
    <xf numFmtId="0" fontId="31" fillId="31" borderId="24" xfId="0" applyFont="1" applyFill="1" applyBorder="1" applyAlignment="1">
      <alignment horizontal="justify" vertical="center" wrapText="1"/>
    </xf>
    <xf numFmtId="4" fontId="31" fillId="31" borderId="24" xfId="48" applyNumberFormat="1" applyFont="1" applyFill="1" applyBorder="1" applyAlignment="1">
      <alignment horizontal="justify" vertical="center"/>
    </xf>
    <xf numFmtId="0" fontId="31" fillId="31" borderId="79" xfId="0" applyNumberFormat="1" applyFont="1" applyFill="1" applyBorder="1" applyAlignment="1">
      <alignment horizontal="center" vertical="center"/>
    </xf>
    <xf numFmtId="3" fontId="31" fillId="31" borderId="79" xfId="0" applyNumberFormat="1" applyFont="1" applyFill="1" applyBorder="1" applyAlignment="1">
      <alignment horizontal="justify" vertical="center" wrapText="1"/>
    </xf>
    <xf numFmtId="3" fontId="31" fillId="31" borderId="79" xfId="0" applyNumberFormat="1" applyFont="1" applyFill="1" applyBorder="1" applyAlignment="1">
      <alignment horizontal="center" vertical="center"/>
    </xf>
    <xf numFmtId="168" fontId="31" fillId="32" borderId="79" xfId="0" applyNumberFormat="1" applyFont="1" applyFill="1" applyBorder="1" applyAlignment="1">
      <alignment horizontal="center" vertical="center" wrapText="1"/>
    </xf>
    <xf numFmtId="3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>
      <alignment horizontal="justify" vertical="center" wrapText="1"/>
    </xf>
    <xf numFmtId="4" fontId="31" fillId="31" borderId="24" xfId="0" applyNumberFormat="1" applyFont="1" applyFill="1" applyBorder="1" applyAlignment="1" applyProtection="1">
      <alignment horizontal="center" vertical="center"/>
      <protection locked="0"/>
    </xf>
    <xf numFmtId="4" fontId="19" fillId="24" borderId="91" xfId="0" applyNumberFormat="1" applyFont="1" applyFill="1" applyBorder="1" applyAlignment="1">
      <alignment horizontal="center" vertical="center" wrapText="1"/>
    </xf>
    <xf numFmtId="0" fontId="19" fillId="24" borderId="92" xfId="0" applyFont="1" applyFill="1" applyBorder="1" applyAlignment="1">
      <alignment horizontal="center" vertical="center" wrapText="1"/>
    </xf>
    <xf numFmtId="0" fontId="19" fillId="24" borderId="93" xfId="0" applyFont="1" applyFill="1" applyBorder="1" applyAlignment="1">
      <alignment horizontal="center" vertical="center" wrapText="1"/>
    </xf>
    <xf numFmtId="4" fontId="18" fillId="24" borderId="90" xfId="0" applyNumberFormat="1" applyFont="1" applyFill="1" applyBorder="1" applyAlignment="1">
      <alignment horizontal="center"/>
    </xf>
    <xf numFmtId="4" fontId="18" fillId="24" borderId="59" xfId="0" applyNumberFormat="1" applyFont="1" applyFill="1" applyBorder="1" applyAlignment="1">
      <alignment horizontal="center" vertical="center" wrapText="1"/>
    </xf>
    <xf numFmtId="0" fontId="18" fillId="24" borderId="75" xfId="0" applyFont="1" applyFill="1" applyBorder="1" applyAlignment="1">
      <alignment horizontal="center" vertical="center" wrapText="1"/>
    </xf>
    <xf numFmtId="0" fontId="18" fillId="24" borderId="85" xfId="0" applyFont="1" applyFill="1" applyBorder="1" applyAlignment="1">
      <alignment horizontal="center" vertical="center" wrapText="1"/>
    </xf>
    <xf numFmtId="4" fontId="19" fillId="24" borderId="59" xfId="0" applyNumberFormat="1" applyFont="1" applyFill="1" applyBorder="1" applyAlignment="1">
      <alignment horizontal="center" vertical="center" wrapText="1"/>
    </xf>
    <xf numFmtId="0" fontId="19" fillId="24" borderId="75" xfId="0" applyFont="1" applyFill="1" applyBorder="1" applyAlignment="1">
      <alignment horizontal="center" vertical="center" wrapText="1"/>
    </xf>
    <xf numFmtId="0" fontId="19" fillId="24" borderId="85" xfId="0" applyFont="1" applyFill="1" applyBorder="1" applyAlignment="1">
      <alignment horizontal="center" vertical="center" wrapText="1"/>
    </xf>
    <xf numFmtId="0" fontId="18" fillId="0" borderId="0" xfId="39" applyFont="1" applyFill="1" applyBorder="1" applyAlignment="1">
      <alignment horizontal="center" vertical="center" wrapText="1"/>
    </xf>
    <xf numFmtId="0" fontId="19" fillId="0" borderId="67" xfId="0" applyFont="1" applyFill="1" applyBorder="1" applyAlignment="1">
      <alignment horizontal="center" vertical="center"/>
    </xf>
    <xf numFmtId="0" fontId="19" fillId="0" borderId="86" xfId="0" applyFont="1" applyFill="1" applyBorder="1" applyAlignment="1">
      <alignment horizontal="center" vertical="center"/>
    </xf>
    <xf numFmtId="0" fontId="19" fillId="0" borderId="87" xfId="39" applyFont="1" applyFill="1" applyBorder="1" applyAlignment="1">
      <alignment horizontal="center" vertical="center" wrapText="1"/>
    </xf>
    <xf numFmtId="0" fontId="19" fillId="0" borderId="88" xfId="39" applyFont="1" applyFill="1" applyBorder="1" applyAlignment="1">
      <alignment horizontal="center" vertical="center" wrapText="1"/>
    </xf>
    <xf numFmtId="0" fontId="19" fillId="0" borderId="89" xfId="39" applyFont="1" applyFill="1" applyBorder="1" applyAlignment="1">
      <alignment horizontal="center" vertical="center" wrapText="1"/>
    </xf>
    <xf numFmtId="0" fontId="19" fillId="0" borderId="80" xfId="0" applyFont="1" applyFill="1" applyBorder="1" applyAlignment="1">
      <alignment horizontal="center" vertical="center"/>
    </xf>
    <xf numFmtId="0" fontId="19" fillId="0" borderId="81" xfId="0" applyFont="1" applyFill="1" applyBorder="1" applyAlignment="1">
      <alignment horizontal="center" vertical="center"/>
    </xf>
    <xf numFmtId="0" fontId="19" fillId="0" borderId="82" xfId="0" applyFont="1" applyFill="1" applyBorder="1" applyAlignment="1">
      <alignment horizontal="center" vertical="center"/>
    </xf>
    <xf numFmtId="0" fontId="19" fillId="0" borderId="83" xfId="0" applyFont="1" applyFill="1" applyBorder="1" applyAlignment="1">
      <alignment horizontal="center" vertical="center"/>
    </xf>
    <xf numFmtId="0" fontId="18" fillId="24" borderId="24" xfId="0" applyFont="1" applyFill="1" applyBorder="1" applyAlignment="1">
      <alignment horizontal="center"/>
    </xf>
    <xf numFmtId="0" fontId="19" fillId="0" borderId="24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justify" vertical="center" wrapText="1"/>
    </xf>
    <xf numFmtId="0" fontId="18" fillId="0" borderId="84" xfId="39" applyFont="1" applyFill="1" applyBorder="1" applyAlignment="1">
      <alignment horizontal="center" vertical="center" wrapText="1"/>
    </xf>
    <xf numFmtId="0" fontId="18" fillId="0" borderId="75" xfId="39" applyFont="1" applyFill="1" applyBorder="1" applyAlignment="1">
      <alignment horizontal="center" vertical="center" wrapText="1"/>
    </xf>
    <xf numFmtId="0" fontId="18" fillId="0" borderId="85" xfId="39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left" vertical="center"/>
    </xf>
    <xf numFmtId="4" fontId="19" fillId="0" borderId="24" xfId="0" applyNumberFormat="1" applyFont="1" applyFill="1" applyBorder="1" applyAlignment="1">
      <alignment horizontal="center" vertical="center"/>
    </xf>
    <xf numFmtId="17" fontId="19" fillId="0" borderId="94" xfId="0" quotePrefix="1" applyNumberFormat="1" applyFont="1" applyFill="1" applyBorder="1" applyAlignment="1">
      <alignment horizontal="center" vertical="center" wrapText="1"/>
    </xf>
    <xf numFmtId="0" fontId="19" fillId="0" borderId="81" xfId="0" applyNumberFormat="1" applyFont="1" applyFill="1" applyBorder="1" applyAlignment="1">
      <alignment horizontal="center" vertical="center" wrapText="1"/>
    </xf>
    <xf numFmtId="0" fontId="19" fillId="0" borderId="95" xfId="0" applyNumberFormat="1" applyFont="1" applyFill="1" applyBorder="1" applyAlignment="1">
      <alignment horizontal="center" vertical="center" wrapText="1"/>
    </xf>
    <xf numFmtId="0" fontId="19" fillId="0" borderId="96" xfId="0" applyNumberFormat="1" applyFont="1" applyFill="1" applyBorder="1" applyAlignment="1">
      <alignment horizontal="center" vertical="center" wrapText="1"/>
    </xf>
    <xf numFmtId="0" fontId="19" fillId="0" borderId="97" xfId="0" applyNumberFormat="1" applyFont="1" applyFill="1" applyBorder="1" applyAlignment="1">
      <alignment horizontal="center" vertical="center" wrapText="1"/>
    </xf>
    <xf numFmtId="0" fontId="19" fillId="0" borderId="98" xfId="0" applyNumberFormat="1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center"/>
    </xf>
    <xf numFmtId="0" fontId="19" fillId="29" borderId="59" xfId="0" applyFont="1" applyFill="1" applyBorder="1" applyAlignment="1">
      <alignment horizontal="left" vertical="center" wrapText="1"/>
    </xf>
    <xf numFmtId="0" fontId="19" fillId="29" borderId="75" xfId="0" applyFont="1" applyFill="1" applyBorder="1" applyAlignment="1">
      <alignment horizontal="left" vertical="center" wrapText="1"/>
    </xf>
    <xf numFmtId="0" fontId="19" fillId="29" borderId="64" xfId="0" applyFont="1" applyFill="1" applyBorder="1" applyAlignment="1">
      <alignment horizontal="left" vertical="center" wrapText="1"/>
    </xf>
    <xf numFmtId="0" fontId="19" fillId="0" borderId="94" xfId="0" applyFont="1" applyFill="1" applyBorder="1" applyAlignment="1">
      <alignment horizontal="center" vertical="center"/>
    </xf>
    <xf numFmtId="0" fontId="19" fillId="24" borderId="24" xfId="0" applyFont="1" applyFill="1" applyBorder="1" applyAlignment="1">
      <alignment horizontal="center" vertical="center" wrapText="1"/>
    </xf>
    <xf numFmtId="0" fontId="19" fillId="24" borderId="24" xfId="0" applyFont="1" applyFill="1" applyBorder="1" applyAlignment="1">
      <alignment horizontal="center" vertical="center"/>
    </xf>
    <xf numFmtId="0" fontId="19" fillId="0" borderId="75" xfId="0" applyFont="1" applyFill="1" applyBorder="1" applyAlignment="1">
      <alignment horizontal="center" vertical="center" wrapText="1"/>
    </xf>
    <xf numFmtId="14" fontId="19" fillId="0" borderId="37" xfId="0" quotePrefix="1" applyNumberFormat="1" applyFont="1" applyFill="1" applyBorder="1" applyAlignment="1">
      <alignment horizontal="center" vertical="center" wrapText="1"/>
    </xf>
    <xf numFmtId="14" fontId="19" fillId="0" borderId="99" xfId="0" quotePrefix="1" applyNumberFormat="1" applyFont="1" applyFill="1" applyBorder="1" applyAlignment="1">
      <alignment horizontal="center" vertical="center" wrapText="1"/>
    </xf>
    <xf numFmtId="14" fontId="19" fillId="0" borderId="67" xfId="0" quotePrefix="1" applyNumberFormat="1" applyFont="1" applyFill="1" applyBorder="1" applyAlignment="1">
      <alignment horizontal="center" vertical="center" wrapText="1"/>
    </xf>
    <xf numFmtId="0" fontId="45" fillId="26" borderId="59" xfId="0" applyFont="1" applyFill="1" applyBorder="1" applyAlignment="1">
      <alignment horizontal="left" vertical="center"/>
    </xf>
    <xf numFmtId="0" fontId="45" fillId="26" borderId="75" xfId="0" applyFont="1" applyFill="1" applyBorder="1" applyAlignment="1">
      <alignment horizontal="left" vertical="center"/>
    </xf>
    <xf numFmtId="4" fontId="31" fillId="24" borderId="103" xfId="48" applyNumberFormat="1" applyFont="1" applyFill="1" applyBorder="1" applyAlignment="1">
      <alignment horizontal="center" vertical="center"/>
    </xf>
    <xf numFmtId="4" fontId="31" fillId="24" borderId="80" xfId="48" applyNumberFormat="1" applyFont="1" applyFill="1" applyBorder="1" applyAlignment="1">
      <alignment horizontal="center" vertical="center"/>
    </xf>
    <xf numFmtId="4" fontId="31" fillId="24" borderId="104" xfId="48" applyNumberFormat="1" applyFont="1" applyFill="1" applyBorder="1" applyAlignment="1">
      <alignment horizontal="center" vertical="center"/>
    </xf>
    <xf numFmtId="4" fontId="32" fillId="24" borderId="107" xfId="48" applyNumberFormat="1" applyFont="1" applyFill="1" applyBorder="1" applyAlignment="1">
      <alignment horizontal="left" vertical="center"/>
    </xf>
    <xf numFmtId="4" fontId="32" fillId="0" borderId="101" xfId="48" applyNumberFormat="1" applyFont="1" applyFill="1" applyBorder="1" applyAlignment="1">
      <alignment horizontal="center" vertical="center"/>
    </xf>
    <xf numFmtId="4" fontId="31" fillId="24" borderId="14" xfId="48" applyNumberFormat="1" applyFont="1" applyFill="1" applyBorder="1" applyAlignment="1">
      <alignment horizontal="right" vertical="center"/>
    </xf>
    <xf numFmtId="4" fontId="31" fillId="24" borderId="14" xfId="48" applyNumberFormat="1" applyFont="1" applyFill="1" applyBorder="1" applyAlignment="1">
      <alignment horizontal="left" vertical="center"/>
    </xf>
    <xf numFmtId="4" fontId="46" fillId="0" borderId="0" xfId="0" applyNumberFormat="1" applyFont="1" applyAlignment="1">
      <alignment horizontal="center" vertical="center" wrapText="1"/>
    </xf>
    <xf numFmtId="0" fontId="19" fillId="0" borderId="40" xfId="0" applyNumberFormat="1" applyFont="1" applyFill="1" applyBorder="1" applyAlignment="1">
      <alignment horizontal="center" vertical="center"/>
    </xf>
    <xf numFmtId="0" fontId="19" fillId="0" borderId="26" xfId="0" applyNumberFormat="1" applyFont="1" applyFill="1" applyBorder="1" applyAlignment="1">
      <alignment horizontal="center" vertical="center"/>
    </xf>
    <xf numFmtId="0" fontId="19" fillId="0" borderId="112" xfId="0" applyNumberFormat="1" applyFont="1" applyFill="1" applyBorder="1" applyAlignment="1">
      <alignment horizontal="center" vertical="center"/>
    </xf>
    <xf numFmtId="3" fontId="31" fillId="0" borderId="141" xfId="0" applyNumberFormat="1" applyFont="1" applyFill="1" applyBorder="1" applyAlignment="1">
      <alignment horizontal="right" vertical="center"/>
    </xf>
    <xf numFmtId="3" fontId="31" fillId="0" borderId="142" xfId="0" applyNumberFormat="1" applyFont="1" applyFill="1" applyBorder="1" applyAlignment="1">
      <alignment horizontal="right" vertical="center"/>
    </xf>
    <xf numFmtId="3" fontId="31" fillId="0" borderId="129" xfId="0" applyNumberFormat="1" applyFont="1" applyFill="1" applyBorder="1" applyAlignment="1">
      <alignment horizontal="right" vertical="center"/>
    </xf>
    <xf numFmtId="3" fontId="31" fillId="0" borderId="28" xfId="0" applyNumberFormat="1" applyFont="1" applyFill="1" applyBorder="1" applyAlignment="1">
      <alignment horizontal="right" vertical="center"/>
    </xf>
    <xf numFmtId="3" fontId="31" fillId="0" borderId="42" xfId="0" applyNumberFormat="1" applyFont="1" applyFill="1" applyBorder="1" applyAlignment="1">
      <alignment horizontal="right" vertical="center"/>
    </xf>
    <xf numFmtId="3" fontId="31" fillId="0" borderId="12" xfId="0" applyNumberFormat="1" applyFont="1" applyFill="1" applyBorder="1" applyAlignment="1">
      <alignment horizontal="right" vertical="center"/>
    </xf>
    <xf numFmtId="2" fontId="31" fillId="0" borderId="42" xfId="0" applyNumberFormat="1" applyFont="1" applyFill="1" applyBorder="1" applyAlignment="1">
      <alignment horizontal="left" vertical="center"/>
    </xf>
    <xf numFmtId="2" fontId="31" fillId="0" borderId="20" xfId="0" applyNumberFormat="1" applyFont="1" applyFill="1" applyBorder="1" applyAlignment="1">
      <alignment horizontal="left" vertical="center"/>
    </xf>
    <xf numFmtId="2" fontId="31" fillId="0" borderId="12" xfId="0" applyNumberFormat="1" applyFont="1" applyFill="1" applyBorder="1" applyAlignment="1">
      <alignment horizontal="left" vertical="center"/>
    </xf>
    <xf numFmtId="2" fontId="31" fillId="0" borderId="124" xfId="0" applyNumberFormat="1" applyFont="1" applyFill="1" applyBorder="1" applyAlignment="1">
      <alignment horizontal="left" vertical="center"/>
    </xf>
    <xf numFmtId="2" fontId="31" fillId="0" borderId="26" xfId="0" applyNumberFormat="1" applyFont="1" applyFill="1" applyBorder="1" applyAlignment="1">
      <alignment horizontal="left" vertical="center"/>
    </xf>
    <xf numFmtId="2" fontId="31" fillId="0" borderId="27" xfId="0" applyNumberFormat="1" applyFont="1" applyFill="1" applyBorder="1" applyAlignment="1">
      <alignment horizontal="left" vertical="center"/>
    </xf>
    <xf numFmtId="2" fontId="32" fillId="0" borderId="132" xfId="0" applyNumberFormat="1" applyFont="1" applyFill="1" applyBorder="1" applyAlignment="1">
      <alignment horizontal="left" vertical="center"/>
    </xf>
    <xf numFmtId="2" fontId="32" fillId="0" borderId="56" xfId="0" applyNumberFormat="1" applyFont="1" applyFill="1" applyBorder="1" applyAlignment="1">
      <alignment horizontal="left" vertical="center"/>
    </xf>
    <xf numFmtId="2" fontId="32" fillId="0" borderId="133" xfId="0" applyNumberFormat="1" applyFont="1" applyFill="1" applyBorder="1" applyAlignment="1">
      <alignment horizontal="left" vertical="center"/>
    </xf>
    <xf numFmtId="3" fontId="19" fillId="4" borderId="143" xfId="0" applyNumberFormat="1" applyFont="1" applyFill="1" applyBorder="1" applyAlignment="1">
      <alignment horizontal="center" vertical="center" wrapText="1"/>
    </xf>
    <xf numFmtId="3" fontId="19" fillId="4" borderId="111" xfId="0" applyNumberFormat="1" applyFont="1" applyFill="1" applyBorder="1" applyAlignment="1">
      <alignment horizontal="center" vertical="center" wrapText="1"/>
    </xf>
    <xf numFmtId="3" fontId="31" fillId="0" borderId="48" xfId="48" applyFont="1" applyFill="1" applyBorder="1" applyAlignment="1">
      <alignment horizontal="left" vertical="center" wrapText="1"/>
    </xf>
    <xf numFmtId="3" fontId="31" fillId="0" borderId="106" xfId="48" applyFont="1" applyFill="1" applyBorder="1" applyAlignment="1">
      <alignment horizontal="left" vertical="center" wrapText="1"/>
    </xf>
    <xf numFmtId="3" fontId="31" fillId="0" borderId="144" xfId="48" applyFont="1" applyFill="1" applyBorder="1" applyAlignment="1">
      <alignment horizontal="left" vertical="center" wrapText="1"/>
    </xf>
    <xf numFmtId="3" fontId="31" fillId="0" borderId="106" xfId="48" applyFont="1" applyFill="1" applyBorder="1" applyAlignment="1">
      <alignment horizontal="center" vertical="center" wrapText="1"/>
    </xf>
    <xf numFmtId="3" fontId="31" fillId="0" borderId="145" xfId="48" applyFont="1" applyFill="1" applyBorder="1" applyAlignment="1">
      <alignment horizontal="center" vertical="center" wrapText="1"/>
    </xf>
    <xf numFmtId="3" fontId="31" fillId="0" borderId="136" xfId="0" applyNumberFormat="1" applyFont="1" applyFill="1" applyBorder="1" applyAlignment="1">
      <alignment horizontal="justify" vertical="center" wrapText="1"/>
    </xf>
    <xf numFmtId="3" fontId="31" fillId="0" borderId="137" xfId="0" applyNumberFormat="1" applyFont="1" applyFill="1" applyBorder="1" applyAlignment="1">
      <alignment horizontal="justify" vertical="center" wrapText="1"/>
    </xf>
    <xf numFmtId="3" fontId="31" fillId="0" borderId="138" xfId="0" applyNumberFormat="1" applyFont="1" applyFill="1" applyBorder="1" applyAlignment="1">
      <alignment horizontal="justify" vertical="center" wrapText="1"/>
    </xf>
    <xf numFmtId="4" fontId="32" fillId="24" borderId="114" xfId="48" applyNumberFormat="1" applyFont="1" applyFill="1" applyBorder="1" applyAlignment="1">
      <alignment horizontal="left" vertical="center"/>
    </xf>
    <xf numFmtId="4" fontId="32" fillId="24" borderId="115" xfId="48" applyNumberFormat="1" applyFont="1" applyFill="1" applyBorder="1" applyAlignment="1">
      <alignment horizontal="left" vertical="center"/>
    </xf>
    <xf numFmtId="4" fontId="31" fillId="24" borderId="40" xfId="48" applyNumberFormat="1" applyFont="1" applyFill="1" applyBorder="1" applyAlignment="1">
      <alignment horizontal="justify" vertical="center" wrapText="1"/>
    </xf>
    <xf numFmtId="4" fontId="31" fillId="24" borderId="26" xfId="48" applyNumberFormat="1" applyFont="1" applyFill="1" applyBorder="1" applyAlignment="1">
      <alignment horizontal="justify" vertical="center" wrapText="1"/>
    </xf>
    <xf numFmtId="4" fontId="31" fillId="24" borderId="27" xfId="48" applyNumberFormat="1" applyFont="1" applyFill="1" applyBorder="1" applyAlignment="1">
      <alignment horizontal="justify" vertical="center" wrapText="1"/>
    </xf>
    <xf numFmtId="4" fontId="32" fillId="0" borderId="100" xfId="48" applyNumberFormat="1" applyFont="1" applyFill="1" applyBorder="1" applyAlignment="1">
      <alignment horizontal="center" vertical="center"/>
    </xf>
    <xf numFmtId="4" fontId="32" fillId="0" borderId="102" xfId="48" applyNumberFormat="1" applyFont="1" applyFill="1" applyBorder="1" applyAlignment="1">
      <alignment horizontal="center" vertical="center"/>
    </xf>
    <xf numFmtId="4" fontId="31" fillId="24" borderId="42" xfId="48" applyNumberFormat="1" applyFont="1" applyFill="1" applyBorder="1" applyAlignment="1">
      <alignment horizontal="right" vertical="center"/>
    </xf>
    <xf numFmtId="4" fontId="31" fillId="0" borderId="42" xfId="48" applyNumberFormat="1" applyFont="1" applyFill="1" applyBorder="1" applyAlignment="1">
      <alignment horizontal="right" vertical="center"/>
    </xf>
    <xf numFmtId="4" fontId="31" fillId="0" borderId="14" xfId="48" applyNumberFormat="1" applyFont="1" applyFill="1" applyBorder="1" applyAlignment="1">
      <alignment horizontal="right" vertical="center"/>
    </xf>
    <xf numFmtId="4" fontId="31" fillId="0" borderId="105" xfId="48" applyNumberFormat="1" applyFont="1" applyFill="1" applyBorder="1" applyAlignment="1">
      <alignment horizontal="right" vertical="center"/>
    </xf>
    <xf numFmtId="4" fontId="31" fillId="0" borderId="106" xfId="48" applyNumberFormat="1" applyFont="1" applyFill="1" applyBorder="1" applyAlignment="1">
      <alignment horizontal="right" vertical="center"/>
    </xf>
    <xf numFmtId="4" fontId="31" fillId="0" borderId="36" xfId="48" applyNumberFormat="1" applyFont="1" applyFill="1" applyBorder="1" applyAlignment="1">
      <alignment horizontal="right" vertical="center"/>
    </xf>
    <xf numFmtId="4" fontId="31" fillId="0" borderId="113" xfId="48" applyNumberFormat="1" applyFont="1" applyFill="1" applyBorder="1" applyAlignment="1">
      <alignment horizontal="center" vertical="center"/>
    </xf>
    <xf numFmtId="4" fontId="31" fillId="0" borderId="80" xfId="48" applyNumberFormat="1" applyFont="1" applyFill="1" applyBorder="1" applyAlignment="1">
      <alignment horizontal="center" vertical="center"/>
    </xf>
    <xf numFmtId="4" fontId="31" fillId="0" borderId="104" xfId="48" applyNumberFormat="1" applyFont="1" applyFill="1" applyBorder="1" applyAlignment="1">
      <alignment horizontal="center" vertical="center"/>
    </xf>
    <xf numFmtId="4" fontId="31" fillId="24" borderId="129" xfId="48" applyNumberFormat="1" applyFont="1" applyFill="1" applyBorder="1" applyAlignment="1">
      <alignment horizontal="right" vertical="center"/>
    </xf>
    <xf numFmtId="4" fontId="31" fillId="24" borderId="23" xfId="48" applyNumberFormat="1" applyFont="1" applyFill="1" applyBorder="1" applyAlignment="1">
      <alignment horizontal="right" vertical="center"/>
    </xf>
    <xf numFmtId="4" fontId="31" fillId="24" borderId="12" xfId="48" applyNumberFormat="1" applyFont="1" applyFill="1" applyBorder="1" applyAlignment="1">
      <alignment horizontal="right" vertical="center"/>
    </xf>
    <xf numFmtId="4" fontId="31" fillId="24" borderId="139" xfId="33" applyNumberFormat="1" applyFont="1" applyFill="1" applyBorder="1" applyAlignment="1">
      <alignment horizontal="center" vertical="center"/>
    </xf>
    <xf numFmtId="4" fontId="31" fillId="24" borderId="140" xfId="33" applyNumberFormat="1" applyFont="1" applyFill="1" applyBorder="1" applyAlignment="1">
      <alignment horizontal="center" vertical="center"/>
    </xf>
    <xf numFmtId="4" fontId="31" fillId="24" borderId="128" xfId="48" applyNumberFormat="1" applyFont="1" applyFill="1" applyBorder="1" applyAlignment="1">
      <alignment horizontal="right" vertical="center"/>
    </xf>
    <xf numFmtId="4" fontId="31" fillId="24" borderId="60" xfId="48" applyNumberFormat="1" applyFont="1" applyFill="1" applyBorder="1" applyAlignment="1">
      <alignment horizontal="right" vertical="center"/>
    </xf>
    <xf numFmtId="4" fontId="32" fillId="0" borderId="45" xfId="48" applyNumberFormat="1" applyFont="1" applyFill="1" applyBorder="1" applyAlignment="1">
      <alignment horizontal="center" vertical="center"/>
    </xf>
    <xf numFmtId="4" fontId="32" fillId="0" borderId="24" xfId="48" applyNumberFormat="1" applyFont="1" applyFill="1" applyBorder="1" applyAlignment="1">
      <alignment horizontal="center" vertical="center"/>
    </xf>
    <xf numFmtId="4" fontId="32" fillId="0" borderId="44" xfId="48" applyNumberFormat="1" applyFont="1" applyFill="1" applyBorder="1" applyAlignment="1">
      <alignment horizontal="center" vertical="center"/>
    </xf>
    <xf numFmtId="4" fontId="32" fillId="4" borderId="134" xfId="0" applyNumberFormat="1" applyFont="1" applyFill="1" applyBorder="1" applyAlignment="1">
      <alignment horizontal="center" vertical="center" wrapText="1"/>
    </xf>
    <xf numFmtId="4" fontId="32" fillId="4" borderId="135" xfId="0" applyNumberFormat="1" applyFont="1" applyFill="1" applyBorder="1" applyAlignment="1">
      <alignment horizontal="center" vertical="center" wrapText="1"/>
    </xf>
    <xf numFmtId="4" fontId="31" fillId="24" borderId="136" xfId="33" applyNumberFormat="1" applyFont="1" applyFill="1" applyBorder="1" applyAlignment="1">
      <alignment horizontal="left" vertical="center"/>
    </xf>
    <xf numFmtId="4" fontId="31" fillId="24" borderId="137" xfId="33" applyNumberFormat="1" applyFont="1" applyFill="1" applyBorder="1" applyAlignment="1">
      <alignment horizontal="left" vertical="center"/>
    </xf>
    <xf numFmtId="4" fontId="31" fillId="24" borderId="138" xfId="33" applyNumberFormat="1" applyFont="1" applyFill="1" applyBorder="1" applyAlignment="1">
      <alignment horizontal="left" vertical="center"/>
    </xf>
    <xf numFmtId="4" fontId="31" fillId="0" borderId="50" xfId="0" applyNumberFormat="1" applyFont="1" applyBorder="1" applyAlignment="1">
      <alignment horizontal="justify" vertical="top" wrapText="1"/>
    </xf>
    <xf numFmtId="4" fontId="31" fillId="0" borderId="0" xfId="0" applyNumberFormat="1" applyFont="1" applyBorder="1" applyAlignment="1">
      <alignment horizontal="justify" vertical="top" wrapText="1"/>
    </xf>
    <xf numFmtId="4" fontId="31" fillId="24" borderId="45" xfId="48" applyNumberFormat="1" applyFont="1" applyFill="1" applyBorder="1" applyAlignment="1">
      <alignment horizontal="right" vertical="center"/>
    </xf>
    <xf numFmtId="4" fontId="31" fillId="24" borderId="24" xfId="48" applyNumberFormat="1" applyFont="1" applyFill="1" applyBorder="1" applyAlignment="1">
      <alignment horizontal="right" vertical="center"/>
    </xf>
    <xf numFmtId="4" fontId="31" fillId="24" borderId="14" xfId="48" applyNumberFormat="1" applyFont="1" applyFill="1" applyBorder="1" applyAlignment="1">
      <alignment horizontal="left" vertical="center" wrapText="1"/>
    </xf>
    <xf numFmtId="4" fontId="32" fillId="4" borderId="108" xfId="0" applyNumberFormat="1" applyFont="1" applyFill="1" applyBorder="1" applyAlignment="1">
      <alignment horizontal="center" vertical="center" wrapText="1"/>
    </xf>
    <xf numFmtId="4" fontId="31" fillId="24" borderId="11" xfId="33" applyNumberFormat="1" applyFont="1" applyFill="1" applyBorder="1" applyAlignment="1">
      <alignment horizontal="left" vertical="center"/>
    </xf>
    <xf numFmtId="4" fontId="31" fillId="24" borderId="26" xfId="33" applyNumberFormat="1" applyFont="1" applyFill="1" applyBorder="1" applyAlignment="1">
      <alignment horizontal="left" vertical="center"/>
    </xf>
    <xf numFmtId="4" fontId="31" fillId="24" borderId="27" xfId="33" applyNumberFormat="1" applyFont="1" applyFill="1" applyBorder="1" applyAlignment="1">
      <alignment horizontal="left" vertical="center"/>
    </xf>
    <xf numFmtId="4" fontId="31" fillId="24" borderId="15" xfId="33" applyNumberFormat="1" applyFont="1" applyFill="1" applyBorder="1" applyAlignment="1">
      <alignment horizontal="center" vertical="center"/>
    </xf>
    <xf numFmtId="4" fontId="31" fillId="24" borderId="109" xfId="33" applyNumberFormat="1" applyFont="1" applyFill="1" applyBorder="1" applyAlignment="1">
      <alignment horizontal="center" vertical="center"/>
    </xf>
    <xf numFmtId="4" fontId="31" fillId="24" borderId="105" xfId="48" applyNumberFormat="1" applyFont="1" applyFill="1" applyBorder="1" applyAlignment="1">
      <alignment horizontal="right" vertical="center"/>
    </xf>
    <xf numFmtId="4" fontId="31" fillId="24" borderId="106" xfId="48" applyNumberFormat="1" applyFont="1" applyFill="1" applyBorder="1" applyAlignment="1">
      <alignment horizontal="right" vertical="center"/>
    </xf>
    <xf numFmtId="4" fontId="31" fillId="24" borderId="36" xfId="48" applyNumberFormat="1" applyFont="1" applyFill="1" applyBorder="1" applyAlignment="1">
      <alignment horizontal="right" vertical="center"/>
    </xf>
    <xf numFmtId="4" fontId="32" fillId="0" borderId="122" xfId="48" applyNumberFormat="1" applyFont="1" applyFill="1" applyBorder="1" applyAlignment="1">
      <alignment horizontal="center" vertical="center"/>
    </xf>
    <xf numFmtId="4" fontId="31" fillId="24" borderId="20" xfId="48" applyNumberFormat="1" applyFont="1" applyFill="1" applyBorder="1" applyAlignment="1">
      <alignment horizontal="right" vertical="center"/>
    </xf>
    <xf numFmtId="4" fontId="31" fillId="24" borderId="16" xfId="48" applyNumberFormat="1" applyFont="1" applyFill="1" applyBorder="1" applyAlignment="1">
      <alignment horizontal="center" vertical="center"/>
    </xf>
    <xf numFmtId="4" fontId="31" fillId="24" borderId="0" xfId="48" applyNumberFormat="1" applyFont="1" applyFill="1" applyBorder="1" applyAlignment="1">
      <alignment horizontal="center" vertical="center"/>
    </xf>
    <xf numFmtId="4" fontId="31" fillId="24" borderId="68" xfId="48" applyNumberFormat="1" applyFont="1" applyFill="1" applyBorder="1" applyAlignment="1">
      <alignment horizontal="center" vertical="center"/>
    </xf>
    <xf numFmtId="4" fontId="31" fillId="24" borderId="14" xfId="33" applyNumberFormat="1" applyFont="1" applyFill="1" applyBorder="1" applyAlignment="1">
      <alignment horizontal="right" vertical="center"/>
    </xf>
    <xf numFmtId="4" fontId="32" fillId="24" borderId="131" xfId="48" applyNumberFormat="1" applyFont="1" applyFill="1" applyBorder="1" applyAlignment="1">
      <alignment horizontal="left" vertical="center"/>
    </xf>
    <xf numFmtId="4" fontId="31" fillId="24" borderId="130" xfId="48" applyNumberFormat="1" applyFont="1" applyFill="1" applyBorder="1" applyAlignment="1">
      <alignment horizontal="right" vertical="center"/>
    </xf>
    <xf numFmtId="4" fontId="31" fillId="24" borderId="14" xfId="33" applyNumberFormat="1" applyFont="1" applyFill="1" applyBorder="1" applyAlignment="1">
      <alignment horizontal="left" vertical="center" wrapText="1"/>
    </xf>
    <xf numFmtId="4" fontId="32" fillId="0" borderId="122" xfId="33" applyNumberFormat="1" applyFont="1" applyFill="1" applyBorder="1" applyAlignment="1">
      <alignment horizontal="center" vertical="center"/>
    </xf>
    <xf numFmtId="4" fontId="32" fillId="24" borderId="107" xfId="33" applyNumberFormat="1" applyFont="1" applyFill="1" applyBorder="1" applyAlignment="1">
      <alignment horizontal="left" vertical="center"/>
    </xf>
    <xf numFmtId="4" fontId="31" fillId="0" borderId="14" xfId="48" applyNumberFormat="1" applyFont="1" applyFill="1" applyBorder="1" applyAlignment="1">
      <alignment horizontal="left" vertical="center" wrapText="1"/>
    </xf>
    <xf numFmtId="4" fontId="31" fillId="24" borderId="30" xfId="48" applyNumberFormat="1" applyFont="1" applyFill="1" applyBorder="1" applyAlignment="1">
      <alignment horizontal="right" vertical="center"/>
    </xf>
    <xf numFmtId="4" fontId="32" fillId="4" borderId="108" xfId="33" applyNumberFormat="1" applyFont="1" applyFill="1" applyBorder="1" applyAlignment="1">
      <alignment horizontal="center" vertical="center" wrapText="1"/>
    </xf>
    <xf numFmtId="4" fontId="31" fillId="0" borderId="15" xfId="33" applyNumberFormat="1" applyFont="1" applyFill="1" applyBorder="1" applyAlignment="1">
      <alignment horizontal="center" vertical="center"/>
    </xf>
    <xf numFmtId="4" fontId="31" fillId="0" borderId="109" xfId="33" applyNumberFormat="1" applyFont="1" applyFill="1" applyBorder="1" applyAlignment="1">
      <alignment horizontal="center" vertical="center"/>
    </xf>
    <xf numFmtId="4" fontId="31" fillId="0" borderId="11" xfId="33" applyNumberFormat="1" applyFont="1" applyFill="1" applyBorder="1" applyAlignment="1">
      <alignment horizontal="left" vertical="center"/>
    </xf>
    <xf numFmtId="4" fontId="31" fillId="0" borderId="26" xfId="33" applyNumberFormat="1" applyFont="1" applyFill="1" applyBorder="1" applyAlignment="1">
      <alignment horizontal="left" vertical="center"/>
    </xf>
    <xf numFmtId="4" fontId="31" fillId="0" borderId="27" xfId="33" applyNumberFormat="1" applyFont="1" applyFill="1" applyBorder="1" applyAlignment="1">
      <alignment horizontal="left" vertical="center"/>
    </xf>
    <xf numFmtId="4" fontId="31" fillId="24" borderId="23" xfId="33" applyNumberFormat="1" applyFont="1" applyFill="1" applyBorder="1" applyAlignment="1">
      <alignment horizontal="right" vertical="center"/>
    </xf>
    <xf numFmtId="4" fontId="31" fillId="24" borderId="11" xfId="48" applyNumberFormat="1" applyFont="1" applyFill="1" applyBorder="1" applyAlignment="1">
      <alignment horizontal="justify" vertical="center" wrapText="1"/>
    </xf>
    <xf numFmtId="4" fontId="31" fillId="0" borderId="11" xfId="48" applyNumberFormat="1" applyFont="1" applyFill="1" applyBorder="1" applyAlignment="1">
      <alignment horizontal="justify" vertical="center" wrapText="1"/>
    </xf>
    <xf numFmtId="4" fontId="31" fillId="0" borderId="26" xfId="48" applyNumberFormat="1" applyFont="1" applyFill="1" applyBorder="1" applyAlignment="1">
      <alignment horizontal="justify" vertical="center" wrapText="1"/>
    </xf>
    <xf numFmtId="4" fontId="31" fillId="0" borderId="27" xfId="48" applyNumberFormat="1" applyFont="1" applyFill="1" applyBorder="1" applyAlignment="1">
      <alignment horizontal="justify" vertical="center" wrapText="1"/>
    </xf>
    <xf numFmtId="4" fontId="32" fillId="4" borderId="125" xfId="0" applyNumberFormat="1" applyFont="1" applyFill="1" applyBorder="1" applyAlignment="1">
      <alignment horizontal="center" vertical="center" wrapText="1"/>
    </xf>
    <xf numFmtId="4" fontId="32" fillId="4" borderId="126" xfId="0" applyNumberFormat="1" applyFont="1" applyFill="1" applyBorder="1" applyAlignment="1">
      <alignment horizontal="center" vertical="center" wrapText="1"/>
    </xf>
    <xf numFmtId="4" fontId="31" fillId="24" borderId="10" xfId="33" applyNumberFormat="1" applyFont="1" applyFill="1" applyBorder="1" applyAlignment="1">
      <alignment horizontal="center" vertical="center"/>
    </xf>
    <xf numFmtId="4" fontId="31" fillId="24" borderId="39" xfId="33" applyNumberFormat="1" applyFont="1" applyFill="1" applyBorder="1" applyAlignment="1">
      <alignment horizontal="center" vertical="center"/>
    </xf>
    <xf numFmtId="4" fontId="31" fillId="24" borderId="127" xfId="33" applyNumberFormat="1" applyFont="1" applyFill="1" applyBorder="1" applyAlignment="1">
      <alignment horizontal="left" vertical="center"/>
    </xf>
    <xf numFmtId="4" fontId="31" fillId="24" borderId="32" xfId="33" applyNumberFormat="1" applyFont="1" applyFill="1" applyBorder="1" applyAlignment="1">
      <alignment horizontal="left" vertical="center"/>
    </xf>
    <xf numFmtId="4" fontId="31" fillId="24" borderId="19" xfId="33" applyNumberFormat="1" applyFont="1" applyFill="1" applyBorder="1" applyAlignment="1">
      <alignment horizontal="left" vertical="center"/>
    </xf>
    <xf numFmtId="4" fontId="31" fillId="24" borderId="113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left" vertical="center" wrapText="1"/>
    </xf>
    <xf numFmtId="4" fontId="31" fillId="24" borderId="26" xfId="48" applyNumberFormat="1" applyFont="1" applyFill="1" applyBorder="1" applyAlignment="1">
      <alignment horizontal="left" vertical="center" wrapText="1"/>
    </xf>
    <xf numFmtId="4" fontId="31" fillId="24" borderId="27" xfId="48" applyNumberFormat="1" applyFont="1" applyFill="1" applyBorder="1" applyAlignment="1">
      <alignment horizontal="left" vertical="center" wrapText="1"/>
    </xf>
    <xf numFmtId="4" fontId="32" fillId="4" borderId="110" xfId="0" applyNumberFormat="1" applyFont="1" applyFill="1" applyBorder="1" applyAlignment="1">
      <alignment horizontal="center" vertical="center" wrapText="1"/>
    </xf>
    <xf numFmtId="4" fontId="32" fillId="4" borderId="111" xfId="0" applyNumberFormat="1" applyFont="1" applyFill="1" applyBorder="1" applyAlignment="1">
      <alignment horizontal="center" vertical="center" wrapText="1"/>
    </xf>
    <xf numFmtId="4" fontId="31" fillId="24" borderId="123" xfId="48" applyNumberFormat="1" applyFont="1" applyFill="1" applyBorder="1" applyAlignment="1">
      <alignment horizontal="right" vertical="center"/>
    </xf>
    <xf numFmtId="4" fontId="31" fillId="0" borderId="42" xfId="48" applyNumberFormat="1" applyFont="1" applyFill="1" applyBorder="1" applyAlignment="1">
      <alignment horizontal="left" vertical="center" wrapText="1"/>
    </xf>
    <xf numFmtId="4" fontId="31" fillId="0" borderId="40" xfId="33" applyNumberFormat="1" applyFont="1" applyFill="1" applyBorder="1" applyAlignment="1">
      <alignment horizontal="left" vertical="center"/>
    </xf>
    <xf numFmtId="4" fontId="31" fillId="24" borderId="112" xfId="33" applyNumberFormat="1" applyFont="1" applyFill="1" applyBorder="1" applyAlignment="1">
      <alignment horizontal="center" vertical="center"/>
    </xf>
    <xf numFmtId="4" fontId="31" fillId="24" borderId="42" xfId="48" applyNumberFormat="1" applyFont="1" applyFill="1" applyBorder="1" applyAlignment="1">
      <alignment horizontal="left" vertical="center" wrapText="1"/>
    </xf>
    <xf numFmtId="4" fontId="32" fillId="4" borderId="116" xfId="0" applyNumberFormat="1" applyFont="1" applyFill="1" applyBorder="1" applyAlignment="1">
      <alignment horizontal="center" vertical="center" wrapText="1"/>
    </xf>
    <xf numFmtId="4" fontId="32" fillId="4" borderId="117" xfId="0" applyNumberFormat="1" applyFont="1" applyFill="1" applyBorder="1" applyAlignment="1">
      <alignment horizontal="center" vertical="center" wrapText="1"/>
    </xf>
    <xf numFmtId="4" fontId="32" fillId="4" borderId="118" xfId="0" applyNumberFormat="1" applyFont="1" applyFill="1" applyBorder="1" applyAlignment="1">
      <alignment horizontal="center" vertical="center" wrapText="1"/>
    </xf>
    <xf numFmtId="4" fontId="31" fillId="0" borderId="11" xfId="48" applyNumberFormat="1" applyFont="1" applyFill="1" applyBorder="1" applyAlignment="1">
      <alignment horizontal="left" vertical="center" wrapText="1"/>
    </xf>
    <xf numFmtId="4" fontId="31" fillId="0" borderId="26" xfId="48" applyNumberFormat="1" applyFont="1" applyFill="1" applyBorder="1" applyAlignment="1">
      <alignment horizontal="left" vertical="center" wrapText="1"/>
    </xf>
    <xf numFmtId="4" fontId="31" fillId="0" borderId="27" xfId="48" applyNumberFormat="1" applyFont="1" applyFill="1" applyBorder="1" applyAlignment="1">
      <alignment horizontal="left" vertical="center" wrapText="1"/>
    </xf>
    <xf numFmtId="4" fontId="32" fillId="0" borderId="11" xfId="48" applyNumberFormat="1" applyFont="1" applyFill="1" applyBorder="1" applyAlignment="1">
      <alignment horizontal="center" vertical="center"/>
    </xf>
    <xf numFmtId="4" fontId="32" fillId="0" borderId="26" xfId="48" applyNumberFormat="1" applyFont="1" applyFill="1" applyBorder="1" applyAlignment="1">
      <alignment horizontal="center" vertical="center"/>
    </xf>
    <xf numFmtId="4" fontId="32" fillId="0" borderId="109" xfId="48" applyNumberFormat="1" applyFont="1" applyFill="1" applyBorder="1" applyAlignment="1">
      <alignment horizontal="center" vertical="center"/>
    </xf>
    <xf numFmtId="4" fontId="31" fillId="24" borderId="11" xfId="48" applyNumberFormat="1" applyFont="1" applyFill="1" applyBorder="1" applyAlignment="1">
      <alignment horizontal="right" vertical="center"/>
    </xf>
    <xf numFmtId="4" fontId="31" fillId="24" borderId="26" xfId="48" applyNumberFormat="1" applyFont="1" applyFill="1" applyBorder="1" applyAlignment="1">
      <alignment horizontal="right" vertical="center"/>
    </xf>
    <xf numFmtId="4" fontId="31" fillId="24" borderId="27" xfId="48" applyNumberFormat="1" applyFont="1" applyFill="1" applyBorder="1" applyAlignment="1">
      <alignment horizontal="right" vertical="center"/>
    </xf>
    <xf numFmtId="4" fontId="32" fillId="24" borderId="119" xfId="48" applyNumberFormat="1" applyFont="1" applyFill="1" applyBorder="1" applyAlignment="1">
      <alignment horizontal="left" vertical="center"/>
    </xf>
    <xf numFmtId="4" fontId="32" fillId="24" borderId="120" xfId="48" applyNumberFormat="1" applyFont="1" applyFill="1" applyBorder="1" applyAlignment="1">
      <alignment horizontal="left" vertical="center"/>
    </xf>
    <xf numFmtId="4" fontId="32" fillId="24" borderId="121" xfId="48" applyNumberFormat="1" applyFont="1" applyFill="1" applyBorder="1" applyAlignment="1">
      <alignment horizontal="left" vertical="center"/>
    </xf>
    <xf numFmtId="4" fontId="32" fillId="4" borderId="146" xfId="0" applyNumberFormat="1" applyFont="1" applyFill="1" applyBorder="1" applyAlignment="1">
      <alignment horizontal="center" vertical="center"/>
    </xf>
    <xf numFmtId="4" fontId="32" fillId="4" borderId="147" xfId="0" applyNumberFormat="1" applyFont="1" applyFill="1" applyBorder="1" applyAlignment="1">
      <alignment horizontal="center" vertical="center"/>
    </xf>
    <xf numFmtId="4" fontId="32" fillId="4" borderId="148" xfId="0" applyNumberFormat="1" applyFont="1" applyFill="1" applyBorder="1" applyAlignment="1">
      <alignment horizontal="center" vertical="center"/>
    </xf>
    <xf numFmtId="4" fontId="31" fillId="4" borderId="94" xfId="0" applyNumberFormat="1" applyFont="1" applyFill="1" applyBorder="1" applyAlignment="1">
      <alignment horizontal="center"/>
    </xf>
    <xf numFmtId="4" fontId="31" fillId="4" borderId="80" xfId="0" applyNumberFormat="1" applyFont="1" applyFill="1" applyBorder="1" applyAlignment="1">
      <alignment horizontal="center"/>
    </xf>
    <xf numFmtId="4" fontId="31" fillId="4" borderId="81" xfId="0" applyNumberFormat="1" applyFont="1" applyFill="1" applyBorder="1" applyAlignment="1">
      <alignment horizontal="center"/>
    </xf>
    <xf numFmtId="4" fontId="31" fillId="4" borderId="95" xfId="0" applyNumberFormat="1" applyFont="1" applyFill="1" applyBorder="1" applyAlignment="1">
      <alignment horizontal="center"/>
    </xf>
    <xf numFmtId="4" fontId="31" fillId="4" borderId="0" xfId="0" applyNumberFormat="1" applyFont="1" applyFill="1" applyBorder="1" applyAlignment="1">
      <alignment horizontal="center"/>
    </xf>
    <xf numFmtId="4" fontId="31" fillId="4" borderId="96" xfId="0" applyNumberFormat="1" applyFont="1" applyFill="1" applyBorder="1" applyAlignment="1">
      <alignment horizontal="center"/>
    </xf>
    <xf numFmtId="4" fontId="31" fillId="4" borderId="97" xfId="0" applyNumberFormat="1" applyFont="1" applyFill="1" applyBorder="1" applyAlignment="1">
      <alignment horizontal="center"/>
    </xf>
    <xf numFmtId="4" fontId="31" fillId="4" borderId="149" xfId="0" applyNumberFormat="1" applyFont="1" applyFill="1" applyBorder="1" applyAlignment="1">
      <alignment horizontal="center"/>
    </xf>
    <xf numFmtId="4" fontId="31" fillId="4" borderId="98" xfId="0" applyNumberFormat="1" applyFont="1" applyFill="1" applyBorder="1" applyAlignment="1">
      <alignment horizontal="center"/>
    </xf>
    <xf numFmtId="0" fontId="19" fillId="16" borderId="150" xfId="32" applyFont="1" applyFill="1" applyBorder="1" applyAlignment="1">
      <alignment horizontal="center" vertical="center"/>
    </xf>
    <xf numFmtId="0" fontId="19" fillId="16" borderId="90" xfId="32" applyFont="1" applyFill="1" applyBorder="1" applyAlignment="1">
      <alignment horizontal="center" vertical="center"/>
    </xf>
    <xf numFmtId="0" fontId="19" fillId="16" borderId="151" xfId="32" applyFont="1" applyFill="1" applyBorder="1" applyAlignment="1">
      <alignment horizontal="center" vertical="center"/>
    </xf>
    <xf numFmtId="0" fontId="20" fillId="0" borderId="152" xfId="32" applyFont="1" applyBorder="1" applyAlignment="1">
      <alignment horizontal="center" vertical="center" wrapText="1"/>
    </xf>
    <xf numFmtId="0" fontId="20" fillId="0" borderId="153" xfId="32" applyFont="1" applyBorder="1" applyAlignment="1">
      <alignment horizontal="center" vertical="center" wrapText="1"/>
    </xf>
    <xf numFmtId="0" fontId="20" fillId="0" borderId="154" xfId="32" applyFont="1" applyBorder="1" applyAlignment="1">
      <alignment horizontal="center" vertical="center" wrapText="1"/>
    </xf>
    <xf numFmtId="0" fontId="32" fillId="0" borderId="152" xfId="32" applyFont="1" applyBorder="1" applyAlignment="1">
      <alignment horizontal="center"/>
    </xf>
    <xf numFmtId="0" fontId="32" fillId="0" borderId="153" xfId="32" applyFont="1" applyBorder="1" applyAlignment="1">
      <alignment horizontal="center"/>
    </xf>
    <xf numFmtId="0" fontId="32" fillId="0" borderId="154" xfId="32" applyFont="1" applyBorder="1" applyAlignment="1">
      <alignment horizontal="center"/>
    </xf>
  </cellXfs>
  <cellStyles count="72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57150</xdr:rowOff>
    </xdr:from>
    <xdr:to>
      <xdr:col>1</xdr:col>
      <xdr:colOff>1562100</xdr:colOff>
      <xdr:row>4</xdr:row>
      <xdr:rowOff>114300</xdr:rowOff>
    </xdr:to>
    <xdr:pic>
      <xdr:nvPicPr>
        <xdr:cNvPr id="22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57175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1594909</xdr:colOff>
      <xdr:row>1</xdr:row>
      <xdr:rowOff>49742</xdr:rowOff>
    </xdr:from>
    <xdr:to>
      <xdr:col>7</xdr:col>
      <xdr:colOff>371283</xdr:colOff>
      <xdr:row>4</xdr:row>
      <xdr:rowOff>135659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764242" y="250825"/>
          <a:ext cx="6925541" cy="54100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3</xdr:col>
      <xdr:colOff>1066800</xdr:colOff>
      <xdr:row>4</xdr:row>
      <xdr:rowOff>142875</xdr:rowOff>
    </xdr:to>
    <xdr:pic>
      <xdr:nvPicPr>
        <xdr:cNvPr id="32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1</xdr:row>
      <xdr:rowOff>123825</xdr:rowOff>
    </xdr:from>
    <xdr:to>
      <xdr:col>8</xdr:col>
      <xdr:colOff>866</xdr:colOff>
      <xdr:row>5</xdr:row>
      <xdr:rowOff>8659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743075" y="323850"/>
          <a:ext cx="6925541" cy="55158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3</xdr:col>
      <xdr:colOff>1066800</xdr:colOff>
      <xdr:row>4</xdr:row>
      <xdr:rowOff>142875</xdr:rowOff>
    </xdr:to>
    <xdr:pic>
      <xdr:nvPicPr>
        <xdr:cNvPr id="428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1</xdr:row>
      <xdr:rowOff>123825</xdr:rowOff>
    </xdr:from>
    <xdr:to>
      <xdr:col>8</xdr:col>
      <xdr:colOff>866</xdr:colOff>
      <xdr:row>5</xdr:row>
      <xdr:rowOff>8659</xdr:rowOff>
    </xdr:to>
    <xdr:sp macro="" textlink="" fLocksText="0">
      <xdr:nvSpPr>
        <xdr:cNvPr id="1026" name="Text Box 5"/>
        <xdr:cNvSpPr txBox="1">
          <a:spLocks noChangeArrowheads="1"/>
        </xdr:cNvSpPr>
      </xdr:nvSpPr>
      <xdr:spPr bwMode="auto">
        <a:xfrm>
          <a:off x="1647825" y="322984"/>
          <a:ext cx="6795655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8</xdr:col>
      <xdr:colOff>41564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792432" y="207818"/>
          <a:ext cx="6925541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121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09550"/>
          <a:ext cx="13525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8</xdr:col>
      <xdr:colOff>41564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747405" y="205220"/>
          <a:ext cx="7180984" cy="5507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531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09550"/>
          <a:ext cx="13525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67"/>
  <sheetViews>
    <sheetView tabSelected="1" view="pageBreakPreview" zoomScale="90" zoomScaleNormal="110" zoomScaleSheetLayoutView="90" workbookViewId="0"/>
  </sheetViews>
  <sheetFormatPr defaultColWidth="11.42578125" defaultRowHeight="15.75" x14ac:dyDescent="0.25"/>
  <cols>
    <col min="1" max="1" width="2.5703125" style="1" customWidth="1"/>
    <col min="2" max="2" width="67.28515625" style="2" customWidth="1"/>
    <col min="3" max="3" width="11" style="1" customWidth="1"/>
    <col min="4" max="4" width="13.28515625" style="3" customWidth="1"/>
    <col min="5" max="5" width="12.5703125" style="1" customWidth="1"/>
    <col min="6" max="6" width="15.85546875" style="1" customWidth="1"/>
    <col min="7" max="7" width="2.140625" style="1" customWidth="1"/>
    <col min="8" max="8" width="14.7109375" style="186" customWidth="1"/>
    <col min="9" max="9" width="28.28515625" style="1" customWidth="1"/>
    <col min="10" max="10" width="7.7109375" style="1" customWidth="1"/>
    <col min="11" max="11" width="11.42578125" style="1"/>
    <col min="12" max="12" width="17" style="1" customWidth="1"/>
    <col min="13" max="13" width="7.85546875" style="1" customWidth="1"/>
    <col min="14" max="14" width="11" style="1" customWidth="1"/>
    <col min="15" max="16" width="11.42578125" style="1"/>
    <col min="17" max="17" width="12.7109375" style="1" customWidth="1"/>
    <col min="18" max="16384" width="11.42578125" style="1"/>
  </cols>
  <sheetData>
    <row r="2" spans="2:9" ht="12" customHeight="1" x14ac:dyDescent="0.25">
      <c r="B2" s="564"/>
      <c r="C2" s="564"/>
      <c r="D2" s="564"/>
      <c r="E2" s="564"/>
      <c r="F2" s="564"/>
    </row>
    <row r="3" spans="2:9" s="4" customFormat="1" ht="12" customHeight="1" x14ac:dyDescent="0.25">
      <c r="B3" s="564"/>
      <c r="C3" s="564"/>
      <c r="D3" s="564"/>
      <c r="E3" s="564"/>
      <c r="F3" s="564"/>
      <c r="H3" s="187"/>
    </row>
    <row r="4" spans="2:9" s="4" customFormat="1" ht="12.75" customHeight="1" x14ac:dyDescent="0.25">
      <c r="B4" s="564"/>
      <c r="C4" s="564"/>
      <c r="D4" s="564"/>
      <c r="E4" s="564"/>
      <c r="F4" s="564"/>
      <c r="H4" s="187"/>
    </row>
    <row r="5" spans="2:9" s="4" customFormat="1" ht="15.75" customHeight="1" x14ac:dyDescent="0.25">
      <c r="B5" s="564"/>
      <c r="C5" s="564"/>
      <c r="D5" s="564"/>
      <c r="E5" s="564"/>
      <c r="F5" s="564"/>
      <c r="H5" s="187"/>
    </row>
    <row r="6" spans="2:9" s="4" customFormat="1" ht="12.75" customHeight="1" x14ac:dyDescent="0.25">
      <c r="B6" s="565" t="s">
        <v>611</v>
      </c>
      <c r="C6" s="565"/>
      <c r="D6" s="565"/>
      <c r="E6" s="565"/>
      <c r="F6" s="565"/>
    </row>
    <row r="7" spans="2:9" s="4" customFormat="1" ht="12.75" customHeight="1" x14ac:dyDescent="0.25">
      <c r="B7" s="565"/>
      <c r="C7" s="565"/>
      <c r="D7" s="565"/>
      <c r="E7" s="565"/>
      <c r="F7" s="565"/>
      <c r="H7" s="187"/>
    </row>
    <row r="8" spans="2:9" s="4" customFormat="1" ht="12.75" customHeight="1" x14ac:dyDescent="0.25">
      <c r="B8" s="566" t="s">
        <v>367</v>
      </c>
      <c r="C8" s="566"/>
      <c r="D8" s="566"/>
      <c r="E8" s="566"/>
      <c r="F8" s="566"/>
      <c r="H8" s="187"/>
    </row>
    <row r="9" spans="2:9" s="4" customFormat="1" ht="27.75" customHeight="1" x14ac:dyDescent="0.25">
      <c r="B9" s="566"/>
      <c r="C9" s="566"/>
      <c r="D9" s="566"/>
      <c r="E9" s="566"/>
      <c r="F9" s="566"/>
      <c r="H9" s="187"/>
    </row>
    <row r="10" spans="2:9" s="4" customFormat="1" ht="34.5" customHeight="1" thickBot="1" x14ac:dyDescent="0.3">
      <c r="B10" s="560"/>
      <c r="C10" s="560"/>
      <c r="D10" s="560"/>
      <c r="E10" s="560"/>
      <c r="F10" s="561"/>
      <c r="H10" s="187"/>
      <c r="I10" s="177"/>
    </row>
    <row r="11" spans="2:9" s="4" customFormat="1" ht="34.5" customHeight="1" x14ac:dyDescent="0.25">
      <c r="B11" s="502" t="s">
        <v>615</v>
      </c>
      <c r="C11" s="562" t="s">
        <v>612</v>
      </c>
      <c r="D11" s="562"/>
      <c r="E11" s="562"/>
      <c r="F11" s="563"/>
      <c r="H11" s="187"/>
      <c r="I11" s="177"/>
    </row>
    <row r="12" spans="2:9" s="8" customFormat="1" ht="33.75" customHeight="1" x14ac:dyDescent="0.2">
      <c r="B12" s="503" t="s">
        <v>673</v>
      </c>
      <c r="C12" s="548">
        <f>PERFURAÇÃO!H22/PERFURAÇÃO!F12</f>
        <v>16880.32</v>
      </c>
      <c r="D12" s="549"/>
      <c r="E12" s="549"/>
      <c r="F12" s="550"/>
      <c r="H12" s="188"/>
      <c r="I12" s="5"/>
    </row>
    <row r="13" spans="2:9" s="8" customFormat="1" ht="33.75" customHeight="1" x14ac:dyDescent="0.2">
      <c r="B13" s="503" t="s">
        <v>613</v>
      </c>
      <c r="C13" s="548">
        <f>INSTALAÇÃO!H22/INSTALAÇÃO!E12</f>
        <v>18249.86</v>
      </c>
      <c r="D13" s="549"/>
      <c r="E13" s="549"/>
      <c r="F13" s="550"/>
      <c r="H13" s="188"/>
      <c r="I13" s="5"/>
    </row>
    <row r="14" spans="2:9" s="8" customFormat="1" ht="33.75" customHeight="1" x14ac:dyDescent="0.2">
      <c r="B14" s="503" t="s">
        <v>614</v>
      </c>
      <c r="C14" s="551">
        <f>SUM(C12:F13)</f>
        <v>35130.18</v>
      </c>
      <c r="D14" s="552"/>
      <c r="E14" s="552"/>
      <c r="F14" s="553"/>
      <c r="H14" s="188"/>
      <c r="I14" s="5"/>
    </row>
    <row r="15" spans="2:9" s="8" customFormat="1" ht="33.75" customHeight="1" x14ac:dyDescent="0.2">
      <c r="B15" s="567"/>
      <c r="C15" s="568"/>
      <c r="D15" s="568"/>
      <c r="E15" s="568"/>
      <c r="F15" s="569"/>
      <c r="H15" s="188"/>
      <c r="I15" s="5"/>
    </row>
    <row r="16" spans="2:9" s="8" customFormat="1" ht="33.75" customHeight="1" x14ac:dyDescent="0.2">
      <c r="B16" s="503" t="s">
        <v>673</v>
      </c>
      <c r="C16" s="548">
        <f>PERFURAÇÃO!H22/PERFURAÇÃO!F12</f>
        <v>16880.32</v>
      </c>
      <c r="D16" s="549"/>
      <c r="E16" s="549"/>
      <c r="F16" s="550"/>
      <c r="H16" s="188"/>
      <c r="I16" s="5"/>
    </row>
    <row r="17" spans="2:21" s="8" customFormat="1" ht="33.75" customHeight="1" x14ac:dyDescent="0.2">
      <c r="B17" s="503" t="s">
        <v>616</v>
      </c>
      <c r="C17" s="548">
        <f>INSTALAÇÃO!H47/INSTALAÇÃO!F12</f>
        <v>18069.86</v>
      </c>
      <c r="D17" s="549"/>
      <c r="E17" s="549"/>
      <c r="F17" s="550"/>
      <c r="H17" s="188"/>
      <c r="I17" s="5"/>
    </row>
    <row r="18" spans="2:21" s="8" customFormat="1" ht="33.75" customHeight="1" x14ac:dyDescent="0.2">
      <c r="B18" s="503" t="s">
        <v>614</v>
      </c>
      <c r="C18" s="551">
        <f>SUM(C16:F17)</f>
        <v>34950.18</v>
      </c>
      <c r="D18" s="552"/>
      <c r="E18" s="552"/>
      <c r="F18" s="553"/>
      <c r="H18" s="188"/>
      <c r="I18" s="5"/>
    </row>
    <row r="19" spans="2:21" s="8" customFormat="1" ht="33.75" customHeight="1" x14ac:dyDescent="0.2">
      <c r="B19" s="567"/>
      <c r="C19" s="568"/>
      <c r="D19" s="568"/>
      <c r="E19" s="568"/>
      <c r="F19" s="569"/>
      <c r="H19" s="188"/>
      <c r="I19" s="5"/>
    </row>
    <row r="20" spans="2:21" s="8" customFormat="1" ht="33.75" customHeight="1" x14ac:dyDescent="0.2">
      <c r="B20" s="503" t="s">
        <v>625</v>
      </c>
      <c r="C20" s="548">
        <f>INSTALAÇÃO!H39/INSTALAÇÃO!F41</f>
        <v>704.91</v>
      </c>
      <c r="D20" s="549"/>
      <c r="E20" s="549"/>
      <c r="F20" s="550"/>
      <c r="H20" s="188"/>
      <c r="I20" s="5"/>
    </row>
    <row r="21" spans="2:21" s="8" customFormat="1" ht="33.75" customHeight="1" thickBot="1" x14ac:dyDescent="0.25">
      <c r="B21" s="504" t="s">
        <v>614</v>
      </c>
      <c r="C21" s="544">
        <f>SUM(C20:F20)</f>
        <v>704.91</v>
      </c>
      <c r="D21" s="545"/>
      <c r="E21" s="545"/>
      <c r="F21" s="546"/>
      <c r="H21" s="188"/>
      <c r="I21" s="5"/>
    </row>
    <row r="22" spans="2:21" s="8" customFormat="1" ht="33.75" customHeight="1" thickBot="1" x14ac:dyDescent="0.25">
      <c r="B22" s="554"/>
      <c r="C22" s="554"/>
      <c r="D22" s="554"/>
      <c r="E22" s="554"/>
      <c r="F22" s="554"/>
      <c r="H22" s="188"/>
      <c r="I22" s="5"/>
    </row>
    <row r="23" spans="2:21" s="8" customFormat="1" ht="33.75" customHeight="1" x14ac:dyDescent="0.2">
      <c r="B23" s="502" t="s">
        <v>617</v>
      </c>
      <c r="C23" s="562" t="s">
        <v>612</v>
      </c>
      <c r="D23" s="562"/>
      <c r="E23" s="562"/>
      <c r="F23" s="563"/>
      <c r="H23" s="188"/>
      <c r="I23" s="5"/>
    </row>
    <row r="24" spans="2:21" s="8" customFormat="1" ht="33.75" customHeight="1" x14ac:dyDescent="0.2">
      <c r="B24" s="503" t="s">
        <v>618</v>
      </c>
      <c r="C24" s="548">
        <f>PERFURAÇÃO!H38/INSTALAÇÃO!G12</f>
        <v>65585.72</v>
      </c>
      <c r="D24" s="549"/>
      <c r="E24" s="549"/>
      <c r="F24" s="550"/>
      <c r="H24" s="188"/>
      <c r="I24" s="5"/>
    </row>
    <row r="25" spans="2:21" s="8" customFormat="1" ht="33.75" customHeight="1" x14ac:dyDescent="0.2">
      <c r="B25" s="503" t="s">
        <v>619</v>
      </c>
      <c r="C25" s="548">
        <f>INSTALAÇÃO!H61/INSTALAÇÃO!G12</f>
        <v>29858.74</v>
      </c>
      <c r="D25" s="549"/>
      <c r="E25" s="549"/>
      <c r="F25" s="550"/>
      <c r="H25" s="188"/>
      <c r="I25" s="5"/>
    </row>
    <row r="26" spans="2:21" s="8" customFormat="1" ht="33.75" customHeight="1" thickBot="1" x14ac:dyDescent="0.25">
      <c r="B26" s="504" t="s">
        <v>614</v>
      </c>
      <c r="C26" s="544">
        <f>SUM(C24:F25)</f>
        <v>95444.46</v>
      </c>
      <c r="D26" s="545"/>
      <c r="E26" s="545"/>
      <c r="F26" s="546"/>
      <c r="H26" s="188"/>
      <c r="I26" s="5"/>
    </row>
    <row r="27" spans="2:21" s="8" customFormat="1" ht="33.75" customHeight="1" thickBot="1" x14ac:dyDescent="0.25">
      <c r="B27" s="554"/>
      <c r="C27" s="554"/>
      <c r="D27" s="554"/>
      <c r="E27" s="554"/>
      <c r="F27" s="554"/>
      <c r="H27" s="188"/>
      <c r="I27" s="5"/>
    </row>
    <row r="28" spans="2:21" s="8" customFormat="1" ht="33.75" customHeight="1" x14ac:dyDescent="0.2">
      <c r="B28" s="557" t="s">
        <v>621</v>
      </c>
      <c r="C28" s="558"/>
      <c r="D28" s="558"/>
      <c r="E28" s="558"/>
      <c r="F28" s="559"/>
      <c r="H28" s="188"/>
      <c r="I28" s="5"/>
    </row>
    <row r="29" spans="2:21" s="8" customFormat="1" ht="33.75" customHeight="1" x14ac:dyDescent="0.2">
      <c r="B29" s="506" t="s">
        <v>622</v>
      </c>
      <c r="C29" s="555" t="s">
        <v>672</v>
      </c>
      <c r="D29" s="555"/>
      <c r="E29" s="555"/>
      <c r="F29" s="556"/>
      <c r="H29" s="188"/>
      <c r="I29" s="5"/>
    </row>
    <row r="30" spans="2:21" s="8" customFormat="1" ht="33.75" customHeight="1" x14ac:dyDescent="0.2">
      <c r="B30" s="503" t="s">
        <v>623</v>
      </c>
      <c r="C30" s="551">
        <f>PERFURAÇÃO!H11</f>
        <v>2356044.04</v>
      </c>
      <c r="D30" s="552"/>
      <c r="E30" s="552"/>
      <c r="F30" s="553"/>
      <c r="H30" s="188"/>
      <c r="I30" s="5"/>
    </row>
    <row r="31" spans="2:21" s="8" customFormat="1" ht="33.75" customHeight="1" thickBot="1" x14ac:dyDescent="0.25">
      <c r="B31" s="504" t="s">
        <v>624</v>
      </c>
      <c r="C31" s="544">
        <f>INSTALAÇÃO!H11</f>
        <v>3973260.32</v>
      </c>
      <c r="D31" s="545"/>
      <c r="E31" s="545"/>
      <c r="F31" s="546"/>
      <c r="H31" s="188"/>
      <c r="I31" s="5"/>
    </row>
    <row r="32" spans="2:21" x14ac:dyDescent="0.25">
      <c r="C32" s="547"/>
      <c r="D32" s="547"/>
      <c r="E32" s="547"/>
      <c r="F32" s="547"/>
      <c r="G32" s="11"/>
      <c r="H32" s="195"/>
      <c r="I32" s="14"/>
      <c r="J32" s="15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2:21" ht="12.75" customHeight="1" x14ac:dyDescent="0.25">
      <c r="G33" s="11"/>
      <c r="H33" s="195"/>
      <c r="I33" s="14"/>
      <c r="J33" s="15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2:21" ht="22.5" customHeight="1" x14ac:dyDescent="0.25">
      <c r="B34" s="2" t="s">
        <v>669</v>
      </c>
      <c r="G34" s="11"/>
      <c r="H34" s="195"/>
      <c r="I34" s="14"/>
      <c r="J34" s="15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2:21" ht="24.75" customHeight="1" x14ac:dyDescent="0.25">
      <c r="B35" s="2" t="s">
        <v>670</v>
      </c>
      <c r="G35" s="11"/>
      <c r="H35" s="195"/>
      <c r="I35" s="14"/>
      <c r="J35" s="15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2:21" ht="12.75" customHeight="1" x14ac:dyDescent="0.25">
      <c r="G36" s="11"/>
      <c r="H36" s="195"/>
      <c r="I36" s="14"/>
      <c r="J36" s="28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2:21" ht="12.75" customHeight="1" x14ac:dyDescent="0.25">
      <c r="G37" s="11"/>
      <c r="H37" s="195"/>
      <c r="I37" s="24"/>
      <c r="J37" s="28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2:21" ht="12.75" customHeight="1" x14ac:dyDescent="0.25">
      <c r="G38" s="11"/>
      <c r="H38" s="195"/>
      <c r="I38" s="24"/>
      <c r="J38" s="28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2:21" ht="12.75" customHeight="1" x14ac:dyDescent="0.25">
      <c r="G39" s="11"/>
      <c r="H39" s="195"/>
      <c r="I39" s="24"/>
      <c r="J39" s="28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2:21" ht="12.75" customHeight="1" x14ac:dyDescent="0.25">
      <c r="G40" s="11"/>
      <c r="H40" s="195"/>
      <c r="I40" s="24"/>
      <c r="J40" s="28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2:21" ht="12.75" customHeight="1" x14ac:dyDescent="0.25">
      <c r="G41" s="11"/>
      <c r="H41" s="195"/>
      <c r="I41" s="24"/>
      <c r="J41" s="28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2:21" ht="12.75" customHeight="1" x14ac:dyDescent="0.25">
      <c r="G42" s="11"/>
      <c r="H42" s="195"/>
      <c r="I42" s="14"/>
      <c r="J42" s="29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2:21" ht="12.75" customHeight="1" x14ac:dyDescent="0.25">
      <c r="G43" s="11"/>
      <c r="H43" s="195"/>
      <c r="I43" s="14"/>
      <c r="J43" s="28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2:21" ht="12.75" customHeight="1" x14ac:dyDescent="0.25">
      <c r="G44" s="11"/>
      <c r="H44" s="191"/>
      <c r="I44" s="24"/>
      <c r="J44" s="30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2:21" ht="12.75" customHeight="1" x14ac:dyDescent="0.25">
      <c r="G45" s="11"/>
      <c r="H45" s="200"/>
      <c r="I45" s="14"/>
      <c r="J45" s="28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2:21" ht="12.75" customHeight="1" x14ac:dyDescent="0.25">
      <c r="G46" s="11"/>
      <c r="H46" s="191"/>
      <c r="I46" s="14"/>
      <c r="J46" s="31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2:21" ht="12.75" customHeight="1" x14ac:dyDescent="0.25">
      <c r="G47" s="11"/>
      <c r="H47" s="195"/>
      <c r="I47" s="14"/>
      <c r="J47" s="13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2:21" ht="12.75" customHeight="1" x14ac:dyDescent="0.25">
      <c r="G48" s="11"/>
      <c r="H48" s="195"/>
      <c r="I48" s="14"/>
      <c r="J48" s="15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7:21" ht="12.75" customHeight="1" x14ac:dyDescent="0.25">
      <c r="G49" s="11"/>
      <c r="H49" s="200"/>
      <c r="I49" s="14"/>
      <c r="J49" s="16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7:21" ht="12.75" customHeight="1" x14ac:dyDescent="0.25">
      <c r="G50" s="11"/>
      <c r="H50" s="195"/>
      <c r="I50" s="14"/>
      <c r="J50" s="20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7:21" ht="12.75" customHeight="1" x14ac:dyDescent="0.25">
      <c r="G51" s="11"/>
      <c r="H51" s="195"/>
      <c r="I51" s="14"/>
      <c r="J51" s="21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7:21" ht="12.75" customHeight="1" x14ac:dyDescent="0.25">
      <c r="G52" s="11"/>
      <c r="H52" s="191"/>
      <c r="I52" s="14"/>
      <c r="J52" s="25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7:21" ht="12.75" customHeight="1" x14ac:dyDescent="0.25">
      <c r="G53" s="11"/>
      <c r="H53" s="191"/>
      <c r="I53" s="14"/>
      <c r="J53" s="32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7:21" ht="12.75" customHeight="1" x14ac:dyDescent="0.25">
      <c r="G54" s="11"/>
      <c r="H54" s="191"/>
      <c r="I54" s="14"/>
      <c r="J54" s="15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7:21" ht="12.75" customHeight="1" x14ac:dyDescent="0.25">
      <c r="G55" s="11"/>
      <c r="H55" s="191"/>
      <c r="I55" s="14"/>
      <c r="J55" s="15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7:21" ht="12.75" customHeight="1" x14ac:dyDescent="0.25">
      <c r="G56" s="11"/>
      <c r="H56" s="191"/>
      <c r="I56" s="14"/>
      <c r="J56" s="15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7:21" ht="12.75" customHeight="1" x14ac:dyDescent="0.25">
      <c r="G57" s="11"/>
      <c r="H57" s="191"/>
      <c r="I57" s="14"/>
      <c r="J57" s="15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7:21" ht="12.75" customHeight="1" x14ac:dyDescent="0.25">
      <c r="G58" s="11"/>
      <c r="H58" s="191"/>
      <c r="I58" s="14"/>
      <c r="J58" s="28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7:21" ht="12.75" customHeight="1" x14ac:dyDescent="0.25">
      <c r="G59" s="11"/>
      <c r="H59" s="191"/>
      <c r="I59" s="14"/>
      <c r="J59" s="28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7:21" ht="12.75" customHeight="1" x14ac:dyDescent="0.25">
      <c r="G60" s="11"/>
      <c r="H60" s="191"/>
      <c r="I60" s="24"/>
      <c r="J60" s="29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7:21" ht="12.75" customHeight="1" x14ac:dyDescent="0.25">
      <c r="G61" s="11"/>
      <c r="H61" s="191"/>
      <c r="I61" s="24"/>
      <c r="J61" s="29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7:21" ht="12.75" customHeight="1" x14ac:dyDescent="0.25">
      <c r="G62" s="11"/>
      <c r="H62" s="200"/>
      <c r="I62" s="17"/>
      <c r="J62" s="29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7:21" ht="12.75" customHeight="1" x14ac:dyDescent="0.25">
      <c r="G63" s="11"/>
      <c r="H63" s="191"/>
      <c r="I63" s="24"/>
      <c r="J63" s="29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7:21" ht="12.75" customHeight="1" x14ac:dyDescent="0.25">
      <c r="G64" s="11"/>
      <c r="H64" s="191"/>
      <c r="I64" s="24"/>
      <c r="J64" s="29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7:21" ht="12.75" customHeight="1" x14ac:dyDescent="0.25">
      <c r="G65" s="12"/>
      <c r="H65" s="191"/>
      <c r="I65" s="24"/>
      <c r="J65" s="29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7:21" ht="12.75" customHeight="1" x14ac:dyDescent="0.25"/>
    <row r="67" spans="7:21" ht="12.75" customHeight="1" x14ac:dyDescent="0.25"/>
    <row r="68" spans="7:21" ht="12.75" customHeight="1" x14ac:dyDescent="0.25"/>
    <row r="69" spans="7:21" ht="12.75" customHeight="1" x14ac:dyDescent="0.25"/>
    <row r="70" spans="7:21" ht="12.75" customHeight="1" x14ac:dyDescent="0.25"/>
    <row r="71" spans="7:21" ht="12.75" customHeight="1" x14ac:dyDescent="0.25"/>
    <row r="72" spans="7:21" ht="12.75" customHeight="1" x14ac:dyDescent="0.25"/>
    <row r="73" spans="7:21" ht="15" customHeight="1" x14ac:dyDescent="0.25"/>
    <row r="123" ht="12.75" customHeight="1" x14ac:dyDescent="0.25"/>
    <row r="167" ht="16.5" customHeight="1" x14ac:dyDescent="0.25"/>
  </sheetData>
  <mergeCells count="26">
    <mergeCell ref="B10:F10"/>
    <mergeCell ref="C23:F23"/>
    <mergeCell ref="B2:F5"/>
    <mergeCell ref="B6:F7"/>
    <mergeCell ref="B8:F9"/>
    <mergeCell ref="B19:F19"/>
    <mergeCell ref="B22:F22"/>
    <mergeCell ref="C12:F12"/>
    <mergeCell ref="C13:F13"/>
    <mergeCell ref="B15:F15"/>
    <mergeCell ref="C11:F11"/>
    <mergeCell ref="C14:F14"/>
    <mergeCell ref="C16:F16"/>
    <mergeCell ref="C17:F17"/>
    <mergeCell ref="C18:F18"/>
    <mergeCell ref="C31:F31"/>
    <mergeCell ref="C32:F32"/>
    <mergeCell ref="C20:F20"/>
    <mergeCell ref="C21:F21"/>
    <mergeCell ref="C24:F24"/>
    <mergeCell ref="C25:F25"/>
    <mergeCell ref="C30:F30"/>
    <mergeCell ref="C26:F26"/>
    <mergeCell ref="B27:F27"/>
    <mergeCell ref="C29:F29"/>
    <mergeCell ref="B28:F28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86"/>
  <sheetViews>
    <sheetView view="pageBreakPreview" zoomScale="90" zoomScaleNormal="110" zoomScaleSheetLayoutView="90" workbookViewId="0"/>
  </sheetViews>
  <sheetFormatPr defaultColWidth="11.42578125" defaultRowHeight="15.75" x14ac:dyDescent="0.25"/>
  <cols>
    <col min="1" max="1" width="2.5703125" style="1" customWidth="1"/>
    <col min="2" max="2" width="7.42578125" style="1" customWidth="1"/>
    <col min="3" max="3" width="12.140625" style="1" hidden="1" customWidth="1"/>
    <col min="4" max="4" width="67.28515625" style="2" customWidth="1"/>
    <col min="5" max="5" width="11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186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2" spans="2:11" ht="12" customHeight="1" x14ac:dyDescent="0.25">
      <c r="B2" s="564"/>
      <c r="C2" s="564"/>
      <c r="D2" s="564"/>
      <c r="E2" s="564"/>
      <c r="F2" s="564"/>
      <c r="G2" s="564"/>
      <c r="H2" s="564"/>
    </row>
    <row r="3" spans="2:11" s="4" customFormat="1" ht="12" customHeight="1" x14ac:dyDescent="0.25">
      <c r="B3" s="564"/>
      <c r="C3" s="564"/>
      <c r="D3" s="564"/>
      <c r="E3" s="564"/>
      <c r="F3" s="564"/>
      <c r="G3" s="564"/>
      <c r="H3" s="564"/>
      <c r="J3" s="187"/>
    </row>
    <row r="4" spans="2:11" s="4" customFormat="1" ht="12.75" customHeight="1" x14ac:dyDescent="0.25">
      <c r="B4" s="564"/>
      <c r="C4" s="564"/>
      <c r="D4" s="564"/>
      <c r="E4" s="564"/>
      <c r="F4" s="564"/>
      <c r="G4" s="564"/>
      <c r="H4" s="564"/>
      <c r="J4" s="187"/>
    </row>
    <row r="5" spans="2:11" s="4" customFormat="1" ht="15.75" customHeight="1" x14ac:dyDescent="0.25">
      <c r="B5" s="564"/>
      <c r="C5" s="564"/>
      <c r="D5" s="564"/>
      <c r="E5" s="564"/>
      <c r="F5" s="564"/>
      <c r="G5" s="564"/>
      <c r="H5" s="564"/>
      <c r="J5" s="187"/>
    </row>
    <row r="6" spans="2:11" s="4" customFormat="1" ht="12.75" customHeight="1" x14ac:dyDescent="0.25">
      <c r="B6" s="570" t="s">
        <v>0</v>
      </c>
      <c r="C6" s="570"/>
      <c r="D6" s="565" t="s">
        <v>552</v>
      </c>
      <c r="E6" s="565"/>
      <c r="F6" s="565"/>
      <c r="G6" s="565"/>
      <c r="H6" s="565"/>
    </row>
    <row r="7" spans="2:11" s="4" customFormat="1" ht="12.75" customHeight="1" x14ac:dyDescent="0.25">
      <c r="B7" s="570"/>
      <c r="C7" s="570"/>
      <c r="D7" s="565"/>
      <c r="E7" s="565"/>
      <c r="F7" s="565"/>
      <c r="G7" s="565"/>
      <c r="H7" s="565"/>
      <c r="J7" s="187"/>
    </row>
    <row r="8" spans="2:11" s="4" customFormat="1" ht="12.75" customHeight="1" x14ac:dyDescent="0.25">
      <c r="B8" s="570" t="s">
        <v>368</v>
      </c>
      <c r="C8" s="570"/>
      <c r="D8" s="566" t="s">
        <v>367</v>
      </c>
      <c r="E8" s="566"/>
      <c r="F8" s="566"/>
      <c r="G8" s="566"/>
      <c r="H8" s="566"/>
      <c r="J8" s="187"/>
    </row>
    <row r="9" spans="2:11" s="4" customFormat="1" ht="27.75" customHeight="1" x14ac:dyDescent="0.25">
      <c r="B9" s="570"/>
      <c r="C9" s="570"/>
      <c r="D9" s="566"/>
      <c r="E9" s="566"/>
      <c r="F9" s="566"/>
      <c r="G9" s="566"/>
      <c r="H9" s="566"/>
      <c r="J9" s="187"/>
    </row>
    <row r="10" spans="2:11" s="4" customFormat="1" ht="30.75" customHeight="1" x14ac:dyDescent="0.25">
      <c r="B10" s="570" t="s">
        <v>369</v>
      </c>
      <c r="C10" s="570"/>
      <c r="D10" s="572" t="s">
        <v>572</v>
      </c>
      <c r="E10" s="573"/>
      <c r="F10" s="578" t="s">
        <v>375</v>
      </c>
      <c r="G10" s="579"/>
      <c r="H10" s="417" t="s">
        <v>370</v>
      </c>
      <c r="J10" s="187"/>
    </row>
    <row r="11" spans="2:11" s="4" customFormat="1" ht="18.75" customHeight="1" x14ac:dyDescent="0.25">
      <c r="B11" s="570"/>
      <c r="C11" s="570"/>
      <c r="D11" s="574"/>
      <c r="E11" s="575"/>
      <c r="F11" s="416" t="s">
        <v>377</v>
      </c>
      <c r="G11" s="416" t="s">
        <v>376</v>
      </c>
      <c r="H11" s="571">
        <f>H16+H22+H38</f>
        <v>2356044.04</v>
      </c>
      <c r="J11" s="187"/>
    </row>
    <row r="12" spans="2:11" s="4" customFormat="1" ht="18" customHeight="1" x14ac:dyDescent="0.25">
      <c r="B12" s="570"/>
      <c r="C12" s="570"/>
      <c r="D12" s="576"/>
      <c r="E12" s="577"/>
      <c r="F12" s="295">
        <v>90</v>
      </c>
      <c r="G12" s="295">
        <v>10</v>
      </c>
      <c r="H12" s="571"/>
      <c r="J12" s="187"/>
    </row>
    <row r="13" spans="2:11" s="4" customFormat="1" ht="34.5" customHeight="1" x14ac:dyDescent="0.25">
      <c r="B13" s="584" t="s">
        <v>1</v>
      </c>
      <c r="C13" s="560"/>
      <c r="D13" s="560"/>
      <c r="E13" s="560"/>
      <c r="F13" s="560"/>
      <c r="G13" s="560"/>
      <c r="H13" s="561"/>
      <c r="J13" s="187"/>
      <c r="K13" s="177"/>
    </row>
    <row r="14" spans="2:11" s="6" customFormat="1" ht="20.25" customHeight="1" x14ac:dyDescent="0.2">
      <c r="B14" s="585" t="s">
        <v>2</v>
      </c>
      <c r="C14" s="440" t="s">
        <v>3</v>
      </c>
      <c r="D14" s="586" t="s">
        <v>4</v>
      </c>
      <c r="E14" s="586" t="s">
        <v>5</v>
      </c>
      <c r="F14" s="586" t="s">
        <v>6</v>
      </c>
      <c r="G14" s="565" t="s">
        <v>7</v>
      </c>
      <c r="H14" s="565"/>
      <c r="K14" s="5"/>
    </row>
    <row r="15" spans="2:11" s="6" customFormat="1" ht="24" customHeight="1" x14ac:dyDescent="0.2">
      <c r="B15" s="585"/>
      <c r="C15" s="440"/>
      <c r="D15" s="586"/>
      <c r="E15" s="586"/>
      <c r="F15" s="586"/>
      <c r="G15" s="421" t="s">
        <v>8</v>
      </c>
      <c r="H15" s="295" t="s">
        <v>9</v>
      </c>
      <c r="K15" s="5"/>
    </row>
    <row r="16" spans="2:11" s="8" customFormat="1" x14ac:dyDescent="0.2">
      <c r="B16" s="496">
        <v>1</v>
      </c>
      <c r="C16" s="497">
        <v>10101</v>
      </c>
      <c r="D16" s="581" t="s">
        <v>10</v>
      </c>
      <c r="E16" s="582"/>
      <c r="F16" s="582"/>
      <c r="G16" s="583"/>
      <c r="H16" s="498">
        <f>SUM(H17:H21)</f>
        <v>180958.32</v>
      </c>
      <c r="J16" s="188"/>
      <c r="K16" s="5"/>
    </row>
    <row r="17" spans="2:11" s="8" customFormat="1" ht="23.25" customHeight="1" x14ac:dyDescent="0.2">
      <c r="B17" s="273" t="s">
        <v>11</v>
      </c>
      <c r="C17" s="296"/>
      <c r="D17" s="297" t="s">
        <v>12</v>
      </c>
      <c r="E17" s="275" t="s">
        <v>398</v>
      </c>
      <c r="F17" s="293">
        <v>6</v>
      </c>
      <c r="G17" s="293">
        <f>'CPU POÇOS'!I26</f>
        <v>786.49</v>
      </c>
      <c r="H17" s="293">
        <f>G17*F17</f>
        <v>4718.9399999999996</v>
      </c>
      <c r="J17" s="189"/>
      <c r="K17" s="5"/>
    </row>
    <row r="18" spans="2:11" s="8" customFormat="1" ht="23.25" customHeight="1" x14ac:dyDescent="0.2">
      <c r="B18" s="273" t="s">
        <v>14</v>
      </c>
      <c r="C18" s="296"/>
      <c r="D18" s="297" t="s">
        <v>15</v>
      </c>
      <c r="E18" s="275" t="s">
        <v>398</v>
      </c>
      <c r="F18" s="293">
        <v>6</v>
      </c>
      <c r="G18" s="293">
        <f>'CPU POÇOS'!I58</f>
        <v>786.49</v>
      </c>
      <c r="H18" s="293">
        <f>G18*F18</f>
        <v>4718.9399999999996</v>
      </c>
      <c r="J18" s="190" t="s">
        <v>341</v>
      </c>
      <c r="K18" s="5"/>
    </row>
    <row r="19" spans="2:11" s="8" customFormat="1" ht="32.25" customHeight="1" x14ac:dyDescent="0.2">
      <c r="B19" s="273" t="s">
        <v>16</v>
      </c>
      <c r="C19" s="296"/>
      <c r="D19" s="297" t="s">
        <v>17</v>
      </c>
      <c r="E19" s="273" t="s">
        <v>85</v>
      </c>
      <c r="F19" s="293">
        <f>2*3*6*4</f>
        <v>144</v>
      </c>
      <c r="G19" s="293">
        <f>'CPU POÇOS'!I92</f>
        <v>379.46</v>
      </c>
      <c r="H19" s="293">
        <f>G19*F19</f>
        <v>54642.239999999998</v>
      </c>
      <c r="J19" s="188"/>
    </row>
    <row r="20" spans="2:11" s="8" customFormat="1" ht="33.75" customHeight="1" x14ac:dyDescent="0.2">
      <c r="B20" s="273" t="s">
        <v>18</v>
      </c>
      <c r="C20" s="296"/>
      <c r="D20" s="441" t="s">
        <v>365</v>
      </c>
      <c r="E20" s="273" t="s">
        <v>19</v>
      </c>
      <c r="F20" s="293">
        <v>12</v>
      </c>
      <c r="G20" s="293">
        <f>'Veículo Fiscalização'!D44</f>
        <v>5581.22</v>
      </c>
      <c r="H20" s="293">
        <f>G20*F20</f>
        <v>66974.64</v>
      </c>
      <c r="J20" s="188"/>
      <c r="K20" s="5"/>
    </row>
    <row r="21" spans="2:11" s="9" customFormat="1" ht="20.25" customHeight="1" x14ac:dyDescent="0.2">
      <c r="B21" s="273" t="s">
        <v>20</v>
      </c>
      <c r="C21" s="298"/>
      <c r="D21" s="299" t="s">
        <v>371</v>
      </c>
      <c r="E21" s="273" t="s">
        <v>19</v>
      </c>
      <c r="F21" s="293">
        <v>12</v>
      </c>
      <c r="G21" s="293">
        <f>'CPU POÇOS'!I127</f>
        <v>4158.63</v>
      </c>
      <c r="H21" s="293">
        <f>G21*F21</f>
        <v>49903.56</v>
      </c>
      <c r="J21" s="191"/>
      <c r="K21" s="5"/>
    </row>
    <row r="22" spans="2:11" s="9" customFormat="1" x14ac:dyDescent="0.2">
      <c r="B22" s="300">
        <v>2</v>
      </c>
      <c r="C22" s="301"/>
      <c r="D22" s="494" t="s">
        <v>671</v>
      </c>
      <c r="E22" s="495"/>
      <c r="F22" s="495"/>
      <c r="G22" s="495"/>
      <c r="H22" s="498">
        <f>SUM(H23:H37)</f>
        <v>1519228.54</v>
      </c>
      <c r="J22" s="191"/>
      <c r="K22" s="5"/>
    </row>
    <row r="23" spans="2:11" s="9" customFormat="1" ht="31.5" x14ac:dyDescent="0.2">
      <c r="B23" s="273" t="s">
        <v>21</v>
      </c>
      <c r="C23" s="302"/>
      <c r="D23" s="303" t="s">
        <v>22</v>
      </c>
      <c r="E23" s="275" t="s">
        <v>398</v>
      </c>
      <c r="F23" s="293">
        <f>F12</f>
        <v>90</v>
      </c>
      <c r="G23" s="293">
        <f>'CPU POÇOS'!I192</f>
        <v>974.7</v>
      </c>
      <c r="H23" s="293">
        <f t="shared" ref="H23:H35" si="0">G23*F23</f>
        <v>87723</v>
      </c>
      <c r="J23" s="191"/>
      <c r="K23" s="5"/>
    </row>
    <row r="24" spans="2:11" s="8" customFormat="1" ht="31.5" x14ac:dyDescent="0.2">
      <c r="B24" s="273" t="s">
        <v>23</v>
      </c>
      <c r="C24" s="296"/>
      <c r="D24" s="297" t="s">
        <v>372</v>
      </c>
      <c r="E24" s="273" t="s">
        <v>85</v>
      </c>
      <c r="F24" s="293">
        <f>2*2*F12</f>
        <v>360</v>
      </c>
      <c r="G24" s="293">
        <f>'CPU POÇOS'!I223</f>
        <v>1.31</v>
      </c>
      <c r="H24" s="293">
        <f t="shared" si="0"/>
        <v>471.6</v>
      </c>
      <c r="J24" s="188" t="s">
        <v>351</v>
      </c>
      <c r="K24" s="5"/>
    </row>
    <row r="25" spans="2:11" s="9" customFormat="1" x14ac:dyDescent="0.2">
      <c r="B25" s="273" t="s">
        <v>24</v>
      </c>
      <c r="C25" s="302"/>
      <c r="D25" s="307" t="s">
        <v>531</v>
      </c>
      <c r="E25" s="275" t="s">
        <v>398</v>
      </c>
      <c r="F25" s="293">
        <f>F12</f>
        <v>90</v>
      </c>
      <c r="G25" s="293">
        <f>'CPU POÇOS'!I257</f>
        <v>264.35000000000002</v>
      </c>
      <c r="H25" s="293">
        <f t="shared" si="0"/>
        <v>23791.5</v>
      </c>
      <c r="J25" s="191"/>
      <c r="K25" s="5"/>
    </row>
    <row r="26" spans="2:11" s="9" customFormat="1" x14ac:dyDescent="0.2">
      <c r="B26" s="273" t="s">
        <v>25</v>
      </c>
      <c r="C26" s="302"/>
      <c r="D26" s="304" t="s">
        <v>26</v>
      </c>
      <c r="E26" s="273" t="s">
        <v>27</v>
      </c>
      <c r="F26" s="293">
        <f>F12*10</f>
        <v>900</v>
      </c>
      <c r="G26" s="293">
        <f>'CPU POÇOS'!I293</f>
        <v>134.74</v>
      </c>
      <c r="H26" s="293">
        <f t="shared" si="0"/>
        <v>121266</v>
      </c>
      <c r="J26" s="191" t="s">
        <v>352</v>
      </c>
      <c r="K26" s="5"/>
    </row>
    <row r="27" spans="2:11" s="9" customFormat="1" x14ac:dyDescent="0.2">
      <c r="B27" s="273" t="s">
        <v>28</v>
      </c>
      <c r="C27" s="302"/>
      <c r="D27" s="304" t="s">
        <v>29</v>
      </c>
      <c r="E27" s="273" t="s">
        <v>27</v>
      </c>
      <c r="F27" s="293">
        <f>F12*90</f>
        <v>8100</v>
      </c>
      <c r="G27" s="293">
        <f>'CPU POÇOS'!I328</f>
        <v>118.86</v>
      </c>
      <c r="H27" s="293">
        <f t="shared" si="0"/>
        <v>962766</v>
      </c>
      <c r="J27" s="191" t="s">
        <v>352</v>
      </c>
    </row>
    <row r="28" spans="2:11" s="9" customFormat="1" ht="47.25" x14ac:dyDescent="0.2">
      <c r="B28" s="273" t="s">
        <v>30</v>
      </c>
      <c r="C28" s="302"/>
      <c r="D28" s="297" t="s">
        <v>662</v>
      </c>
      <c r="E28" s="273" t="s">
        <v>27</v>
      </c>
      <c r="F28" s="293">
        <f>F12*10</f>
        <v>900</v>
      </c>
      <c r="G28" s="293">
        <f>'CPU POÇOS'!I361</f>
        <v>134.01</v>
      </c>
      <c r="H28" s="293">
        <f t="shared" si="0"/>
        <v>120609</v>
      </c>
      <c r="J28" s="191"/>
    </row>
    <row r="29" spans="2:11" s="9" customFormat="1" ht="31.5" x14ac:dyDescent="0.2">
      <c r="B29" s="273" t="s">
        <v>569</v>
      </c>
      <c r="C29" s="298"/>
      <c r="D29" s="305" t="s">
        <v>31</v>
      </c>
      <c r="E29" s="275" t="s">
        <v>32</v>
      </c>
      <c r="F29" s="293">
        <f>(F12*10*3.1416*(0.2*0.2-0.15*0.15))</f>
        <v>49.48</v>
      </c>
      <c r="G29" s="293">
        <f>'CPU POÇOS'!I393</f>
        <v>401.73</v>
      </c>
      <c r="H29" s="293">
        <f t="shared" si="0"/>
        <v>19877.599999999999</v>
      </c>
      <c r="J29" s="191"/>
    </row>
    <row r="30" spans="2:11" s="7" customFormat="1" ht="47.25" x14ac:dyDescent="0.2">
      <c r="B30" s="273" t="s">
        <v>570</v>
      </c>
      <c r="C30" s="270"/>
      <c r="D30" s="274" t="s">
        <v>650</v>
      </c>
      <c r="E30" s="275" t="s">
        <v>398</v>
      </c>
      <c r="F30" s="272">
        <f>F12</f>
        <v>90</v>
      </c>
      <c r="G30" s="293">
        <f>'CPU POÇOS'!I425</f>
        <v>123.88</v>
      </c>
      <c r="H30" s="293">
        <f t="shared" si="0"/>
        <v>11149.2</v>
      </c>
      <c r="J30" s="176"/>
      <c r="K30" s="175"/>
    </row>
    <row r="31" spans="2:11" s="9" customFormat="1" ht="63" x14ac:dyDescent="0.2">
      <c r="B31" s="273" t="s">
        <v>33</v>
      </c>
      <c r="C31" s="270"/>
      <c r="D31" s="274" t="s">
        <v>651</v>
      </c>
      <c r="E31" s="275" t="s">
        <v>398</v>
      </c>
      <c r="F31" s="293">
        <f>F12</f>
        <v>90</v>
      </c>
      <c r="G31" s="293">
        <f>'CPU POÇOS'!I456</f>
        <v>229.55</v>
      </c>
      <c r="H31" s="293">
        <f t="shared" si="0"/>
        <v>20659.5</v>
      </c>
      <c r="J31" s="191"/>
    </row>
    <row r="32" spans="2:11" s="9" customFormat="1" ht="31.5" x14ac:dyDescent="0.2">
      <c r="B32" s="273" t="s">
        <v>340</v>
      </c>
      <c r="C32" s="302"/>
      <c r="D32" s="304" t="s">
        <v>421</v>
      </c>
      <c r="E32" s="275" t="s">
        <v>398</v>
      </c>
      <c r="F32" s="293">
        <f>F12</f>
        <v>90</v>
      </c>
      <c r="G32" s="293">
        <f>'CPU POÇOS'!I489</f>
        <v>86.56</v>
      </c>
      <c r="H32" s="293">
        <f t="shared" si="0"/>
        <v>7790.4</v>
      </c>
      <c r="J32" s="191"/>
    </row>
    <row r="33" spans="2:23" s="9" customFormat="1" ht="31.5" x14ac:dyDescent="0.2">
      <c r="B33" s="273" t="s">
        <v>423</v>
      </c>
      <c r="C33" s="302"/>
      <c r="D33" s="304" t="s">
        <v>652</v>
      </c>
      <c r="E33" s="275" t="s">
        <v>398</v>
      </c>
      <c r="F33" s="293">
        <f>F12</f>
        <v>90</v>
      </c>
      <c r="G33" s="293">
        <f>'CPU POÇOS'!I523</f>
        <v>89.39</v>
      </c>
      <c r="H33" s="293">
        <f t="shared" si="0"/>
        <v>8045.1</v>
      </c>
      <c r="J33" s="191"/>
    </row>
    <row r="34" spans="2:23" s="9" customFormat="1" ht="31.5" x14ac:dyDescent="0.2">
      <c r="B34" s="273" t="s">
        <v>424</v>
      </c>
      <c r="C34" s="270"/>
      <c r="D34" s="307" t="s">
        <v>661</v>
      </c>
      <c r="E34" s="275" t="s">
        <v>398</v>
      </c>
      <c r="F34" s="272">
        <f>F12</f>
        <v>90</v>
      </c>
      <c r="G34" s="272">
        <f>'CPU POÇOS'!I555</f>
        <v>490.9</v>
      </c>
      <c r="H34" s="293">
        <f t="shared" si="0"/>
        <v>44181</v>
      </c>
      <c r="J34" s="192"/>
    </row>
    <row r="35" spans="2:23" s="7" customFormat="1" ht="31.5" x14ac:dyDescent="0.2">
      <c r="B35" s="273" t="s">
        <v>430</v>
      </c>
      <c r="C35" s="302"/>
      <c r="D35" s="297" t="s">
        <v>653</v>
      </c>
      <c r="E35" s="275" t="s">
        <v>398</v>
      </c>
      <c r="F35" s="293">
        <f>F12</f>
        <v>90</v>
      </c>
      <c r="G35" s="293">
        <f>'CPU POÇOS'!I587</f>
        <v>143.79</v>
      </c>
      <c r="H35" s="293">
        <f t="shared" si="0"/>
        <v>12941.1</v>
      </c>
      <c r="J35" s="176"/>
      <c r="K35" s="175"/>
    </row>
    <row r="36" spans="2:23" s="7" customFormat="1" ht="31.5" x14ac:dyDescent="0.2">
      <c r="B36" s="273" t="s">
        <v>514</v>
      </c>
      <c r="C36" s="270"/>
      <c r="D36" s="307" t="s">
        <v>640</v>
      </c>
      <c r="E36" s="275" t="s">
        <v>398</v>
      </c>
      <c r="F36" s="272">
        <f>F12</f>
        <v>90</v>
      </c>
      <c r="G36" s="272">
        <f>'CPU POÇOS'!I617</f>
        <v>748.88</v>
      </c>
      <c r="H36" s="272">
        <f>F36*G36</f>
        <v>67399.199999999997</v>
      </c>
      <c r="J36" s="176"/>
      <c r="K36" s="175"/>
    </row>
    <row r="37" spans="2:23" ht="63" x14ac:dyDescent="0.25">
      <c r="B37" s="273" t="s">
        <v>571</v>
      </c>
      <c r="C37" s="270"/>
      <c r="D37" s="274" t="s">
        <v>530</v>
      </c>
      <c r="E37" s="273" t="s">
        <v>32</v>
      </c>
      <c r="F37" s="272">
        <f>F12*((1*1*0.15)+((3.1416/4)*(0.3062*0.3062-0.15*0.15)))</f>
        <v>18.54</v>
      </c>
      <c r="G37" s="272">
        <f>'CPU POÇOS'!I655</f>
        <v>569.49</v>
      </c>
      <c r="H37" s="272">
        <f>F37*G37</f>
        <v>10558.34</v>
      </c>
      <c r="I37" s="11"/>
      <c r="J37" s="195"/>
      <c r="K37" s="121"/>
      <c r="L37" s="15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s="7" customFormat="1" x14ac:dyDescent="0.2">
      <c r="B38" s="300">
        <v>3</v>
      </c>
      <c r="C38" s="300"/>
      <c r="D38" s="494" t="s">
        <v>610</v>
      </c>
      <c r="E38" s="495"/>
      <c r="F38" s="495"/>
      <c r="G38" s="495"/>
      <c r="H38" s="498">
        <f>SUM(H39:H58)</f>
        <v>655857.18000000005</v>
      </c>
      <c r="J38" s="176"/>
      <c r="K38" s="175"/>
    </row>
    <row r="39" spans="2:23" s="7" customFormat="1" ht="31.5" x14ac:dyDescent="0.2">
      <c r="B39" s="273" t="s">
        <v>34</v>
      </c>
      <c r="C39" s="270"/>
      <c r="D39" s="303" t="s">
        <v>22</v>
      </c>
      <c r="E39" s="275" t="s">
        <v>398</v>
      </c>
      <c r="F39" s="272">
        <f>G12</f>
        <v>10</v>
      </c>
      <c r="G39" s="293">
        <f>'CPU POÇOS'!I192</f>
        <v>974.7</v>
      </c>
      <c r="H39" s="272">
        <f>F39*G39</f>
        <v>9747</v>
      </c>
      <c r="J39" s="176"/>
      <c r="K39" s="175"/>
    </row>
    <row r="40" spans="2:23" s="7" customFormat="1" ht="31.5" x14ac:dyDescent="0.2">
      <c r="B40" s="273" t="s">
        <v>35</v>
      </c>
      <c r="C40" s="270"/>
      <c r="D40" s="297" t="s">
        <v>372</v>
      </c>
      <c r="E40" s="275" t="s">
        <v>85</v>
      </c>
      <c r="F40" s="272">
        <f>G12*300</f>
        <v>3000</v>
      </c>
      <c r="G40" s="271">
        <f>'CPU POÇOS'!I223</f>
        <v>1.31</v>
      </c>
      <c r="H40" s="272">
        <f t="shared" ref="H40:H58" si="1">F40*G40</f>
        <v>3930</v>
      </c>
      <c r="J40" s="176"/>
      <c r="K40" s="175"/>
    </row>
    <row r="41" spans="2:23" s="7" customFormat="1" x14ac:dyDescent="0.2">
      <c r="B41" s="273" t="s">
        <v>36</v>
      </c>
      <c r="C41" s="270"/>
      <c r="D41" s="307" t="s">
        <v>527</v>
      </c>
      <c r="E41" s="275" t="s">
        <v>398</v>
      </c>
      <c r="F41" s="272">
        <f>G12</f>
        <v>10</v>
      </c>
      <c r="G41" s="293">
        <f>'CPU POÇOS'!I689</f>
        <v>795.61</v>
      </c>
      <c r="H41" s="272">
        <f>F41*G41</f>
        <v>7956.1</v>
      </c>
      <c r="J41" s="176"/>
      <c r="K41" s="175"/>
    </row>
    <row r="42" spans="2:23" s="7" customFormat="1" x14ac:dyDescent="0.2">
      <c r="B42" s="273" t="s">
        <v>37</v>
      </c>
      <c r="C42" s="270"/>
      <c r="D42" s="307" t="s">
        <v>378</v>
      </c>
      <c r="E42" s="273" t="s">
        <v>27</v>
      </c>
      <c r="F42" s="272">
        <f>G12*20</f>
        <v>200</v>
      </c>
      <c r="G42" s="293">
        <f>'CPU POÇOS'!I721</f>
        <v>168.1</v>
      </c>
      <c r="H42" s="272">
        <f>F42*G42</f>
        <v>33620</v>
      </c>
      <c r="J42" s="176"/>
      <c r="K42" s="175"/>
    </row>
    <row r="43" spans="2:23" s="7" customFormat="1" x14ac:dyDescent="0.2">
      <c r="B43" s="273" t="s">
        <v>38</v>
      </c>
      <c r="C43" s="270"/>
      <c r="D43" s="307" t="s">
        <v>379</v>
      </c>
      <c r="E43" s="273" t="s">
        <v>27</v>
      </c>
      <c r="F43" s="272">
        <f>G12*160</f>
        <v>1600</v>
      </c>
      <c r="G43" s="293">
        <f>'CPU POÇOS'!I753</f>
        <v>132.25</v>
      </c>
      <c r="H43" s="272">
        <f>F43*G43</f>
        <v>211600</v>
      </c>
      <c r="J43" s="176"/>
      <c r="K43" s="175"/>
    </row>
    <row r="44" spans="2:23" s="7" customFormat="1" ht="31.5" x14ac:dyDescent="0.2">
      <c r="B44" s="273" t="s">
        <v>553</v>
      </c>
      <c r="C44" s="270"/>
      <c r="D44" s="307" t="s">
        <v>421</v>
      </c>
      <c r="E44" s="275" t="s">
        <v>398</v>
      </c>
      <c r="F44" s="272">
        <f>G12</f>
        <v>10</v>
      </c>
      <c r="G44" s="272">
        <f>'CPU POÇOS'!I489</f>
        <v>86.56</v>
      </c>
      <c r="H44" s="272">
        <f>F44*G44</f>
        <v>865.6</v>
      </c>
      <c r="J44" s="176"/>
      <c r="K44" s="175"/>
    </row>
    <row r="45" spans="2:23" s="7" customFormat="1" ht="31.5" x14ac:dyDescent="0.2">
      <c r="B45" s="273" t="s">
        <v>554</v>
      </c>
      <c r="C45" s="270"/>
      <c r="D45" s="274" t="s">
        <v>422</v>
      </c>
      <c r="E45" s="275" t="s">
        <v>398</v>
      </c>
      <c r="F45" s="272">
        <f>G12</f>
        <v>10</v>
      </c>
      <c r="G45" s="272">
        <f>'CPU POÇOS'!I786</f>
        <v>74.44</v>
      </c>
      <c r="H45" s="272">
        <f t="shared" si="1"/>
        <v>744.4</v>
      </c>
      <c r="J45" s="176"/>
      <c r="K45" s="175"/>
    </row>
    <row r="46" spans="2:23" s="7" customFormat="1" ht="47.25" x14ac:dyDescent="0.2">
      <c r="B46" s="273" t="s">
        <v>555</v>
      </c>
      <c r="C46" s="270"/>
      <c r="D46" s="307" t="s">
        <v>662</v>
      </c>
      <c r="E46" s="273" t="s">
        <v>27</v>
      </c>
      <c r="F46" s="272">
        <f>G12*150</f>
        <v>1500</v>
      </c>
      <c r="G46" s="272">
        <f>'CPU POÇOS'!I361</f>
        <v>134.01</v>
      </c>
      <c r="H46" s="272">
        <f t="shared" si="1"/>
        <v>201015</v>
      </c>
      <c r="J46" s="176"/>
      <c r="K46" s="175"/>
    </row>
    <row r="47" spans="2:23" s="7" customFormat="1" ht="47.25" x14ac:dyDescent="0.2">
      <c r="B47" s="273" t="s">
        <v>556</v>
      </c>
      <c r="C47" s="270"/>
      <c r="D47" s="307" t="s">
        <v>663</v>
      </c>
      <c r="E47" s="273" t="s">
        <v>27</v>
      </c>
      <c r="F47" s="272">
        <f>G12*30</f>
        <v>300</v>
      </c>
      <c r="G47" s="272">
        <f>'CPU POÇOS'!I818</f>
        <v>235.53</v>
      </c>
      <c r="H47" s="272">
        <f t="shared" si="1"/>
        <v>70659</v>
      </c>
      <c r="J47" s="176"/>
      <c r="K47" s="175"/>
    </row>
    <row r="48" spans="2:23" s="7" customFormat="1" ht="47.25" x14ac:dyDescent="0.2">
      <c r="B48" s="273" t="s">
        <v>557</v>
      </c>
      <c r="C48" s="270"/>
      <c r="D48" s="307" t="s">
        <v>664</v>
      </c>
      <c r="E48" s="273" t="s">
        <v>32</v>
      </c>
      <c r="F48" s="272">
        <f>F46*(3.1416/4)*(0.3062*0.3062-0.15*0.15)</f>
        <v>83.95</v>
      </c>
      <c r="G48" s="272">
        <f>'CPU POÇOS'!I393</f>
        <v>401.73</v>
      </c>
      <c r="H48" s="272">
        <f>F48*G48</f>
        <v>33725.230000000003</v>
      </c>
      <c r="J48" s="176"/>
      <c r="K48" s="175"/>
    </row>
    <row r="49" spans="2:23" s="7" customFormat="1" ht="47.25" x14ac:dyDescent="0.2">
      <c r="B49" s="273" t="s">
        <v>558</v>
      </c>
      <c r="C49" s="270"/>
      <c r="D49" s="274" t="s">
        <v>665</v>
      </c>
      <c r="E49" s="273" t="s">
        <v>27</v>
      </c>
      <c r="F49" s="272">
        <f>G12*30</f>
        <v>300</v>
      </c>
      <c r="G49" s="272">
        <f>'CPU POÇOS'!I848</f>
        <v>134.53</v>
      </c>
      <c r="H49" s="272">
        <f t="shared" si="1"/>
        <v>40359</v>
      </c>
      <c r="J49" s="176"/>
      <c r="K49" s="175"/>
    </row>
    <row r="50" spans="2:23" s="7" customFormat="1" ht="47.25" x14ac:dyDescent="0.2">
      <c r="B50" s="273" t="s">
        <v>559</v>
      </c>
      <c r="C50" s="270"/>
      <c r="D50" s="307" t="s">
        <v>435</v>
      </c>
      <c r="E50" s="273" t="s">
        <v>32</v>
      </c>
      <c r="F50" s="272">
        <f>F49*(3.1416/4)*(0.3062*0.3062-0.15*0.15)</f>
        <v>16.79</v>
      </c>
      <c r="G50" s="272">
        <f>'CPU POÇOS'!I878</f>
        <v>964.05</v>
      </c>
      <c r="H50" s="272">
        <f t="shared" si="1"/>
        <v>16186.4</v>
      </c>
      <c r="J50" s="176"/>
      <c r="K50" s="175"/>
    </row>
    <row r="51" spans="2:23" s="7" customFormat="1" ht="47.25" x14ac:dyDescent="0.2">
      <c r="B51" s="273" t="s">
        <v>560</v>
      </c>
      <c r="C51" s="270"/>
      <c r="D51" s="274" t="s">
        <v>650</v>
      </c>
      <c r="E51" s="275" t="s">
        <v>398</v>
      </c>
      <c r="F51" s="272">
        <f>G12</f>
        <v>10</v>
      </c>
      <c r="G51" s="293">
        <f>'CPU POÇOS'!I425</f>
        <v>123.88</v>
      </c>
      <c r="H51" s="272">
        <f t="shared" si="1"/>
        <v>1238.8</v>
      </c>
      <c r="J51" s="176"/>
      <c r="K51" s="175"/>
    </row>
    <row r="52" spans="2:23" s="7" customFormat="1" ht="63" x14ac:dyDescent="0.2">
      <c r="B52" s="273" t="s">
        <v>561</v>
      </c>
      <c r="C52" s="270"/>
      <c r="D52" s="274" t="s">
        <v>666</v>
      </c>
      <c r="E52" s="275" t="s">
        <v>398</v>
      </c>
      <c r="F52" s="272">
        <f>G12</f>
        <v>10</v>
      </c>
      <c r="G52" s="272">
        <f>'CPU POÇOS'!I456</f>
        <v>229.55</v>
      </c>
      <c r="H52" s="272">
        <f>F52*G52</f>
        <v>2295.5</v>
      </c>
      <c r="J52" s="176"/>
      <c r="K52" s="175"/>
    </row>
    <row r="53" spans="2:23" s="7" customFormat="1" ht="47.25" x14ac:dyDescent="0.2">
      <c r="B53" s="273" t="s">
        <v>562</v>
      </c>
      <c r="C53" s="270"/>
      <c r="D53" s="307" t="s">
        <v>533</v>
      </c>
      <c r="E53" s="275" t="s">
        <v>398</v>
      </c>
      <c r="F53" s="272">
        <f>G12</f>
        <v>10</v>
      </c>
      <c r="G53" s="272">
        <f>'CPU POÇOS'!I910</f>
        <v>177.48</v>
      </c>
      <c r="H53" s="272">
        <f t="shared" si="1"/>
        <v>1774.8</v>
      </c>
      <c r="J53" s="176"/>
      <c r="K53" s="175"/>
    </row>
    <row r="54" spans="2:23" s="7" customFormat="1" ht="31.5" x14ac:dyDescent="0.2">
      <c r="B54" s="273" t="s">
        <v>563</v>
      </c>
      <c r="C54" s="270"/>
      <c r="D54" s="307" t="s">
        <v>380</v>
      </c>
      <c r="E54" s="275" t="s">
        <v>398</v>
      </c>
      <c r="F54" s="272">
        <f>G12</f>
        <v>10</v>
      </c>
      <c r="G54" s="293">
        <f>'CPU POÇOS'!I939</f>
        <v>567.54999999999995</v>
      </c>
      <c r="H54" s="272">
        <f t="shared" si="1"/>
        <v>5675.5</v>
      </c>
      <c r="J54" s="413"/>
      <c r="K54" s="413"/>
    </row>
    <row r="55" spans="2:23" s="7" customFormat="1" ht="47.25" x14ac:dyDescent="0.2">
      <c r="B55" s="273" t="s">
        <v>564</v>
      </c>
      <c r="C55" s="270"/>
      <c r="D55" s="274" t="s">
        <v>667</v>
      </c>
      <c r="E55" s="275" t="s">
        <v>398</v>
      </c>
      <c r="F55" s="272">
        <f>G12</f>
        <v>10</v>
      </c>
      <c r="G55" s="272">
        <f>'CPU POÇOS'!I523</f>
        <v>89.39</v>
      </c>
      <c r="H55" s="272">
        <f t="shared" si="1"/>
        <v>893.9</v>
      </c>
      <c r="J55" s="413"/>
      <c r="K55" s="413"/>
    </row>
    <row r="56" spans="2:23" s="7" customFormat="1" ht="31.5" x14ac:dyDescent="0.2">
      <c r="B56" s="273" t="s">
        <v>565</v>
      </c>
      <c r="C56" s="270"/>
      <c r="D56" s="307" t="s">
        <v>661</v>
      </c>
      <c r="E56" s="275" t="s">
        <v>398</v>
      </c>
      <c r="F56" s="272">
        <f>G12</f>
        <v>10</v>
      </c>
      <c r="G56" s="272">
        <f>'CPU POÇOS'!I555</f>
        <v>490.9</v>
      </c>
      <c r="H56" s="272">
        <f t="shared" si="1"/>
        <v>4909</v>
      </c>
      <c r="J56" s="176"/>
      <c r="K56" s="175"/>
    </row>
    <row r="57" spans="2:23" s="7" customFormat="1" ht="31.5" x14ac:dyDescent="0.2">
      <c r="B57" s="273" t="s">
        <v>566</v>
      </c>
      <c r="C57" s="270"/>
      <c r="D57" s="307" t="s">
        <v>640</v>
      </c>
      <c r="E57" s="275" t="s">
        <v>398</v>
      </c>
      <c r="F57" s="272">
        <f>G12</f>
        <v>10</v>
      </c>
      <c r="G57" s="272">
        <f>'CPU POÇOS'!I617</f>
        <v>748.88</v>
      </c>
      <c r="H57" s="272">
        <f t="shared" si="1"/>
        <v>7488.8</v>
      </c>
      <c r="J57" s="176"/>
      <c r="K57" s="175"/>
    </row>
    <row r="58" spans="2:23" ht="63" x14ac:dyDescent="0.25">
      <c r="B58" s="273" t="s">
        <v>567</v>
      </c>
      <c r="C58" s="270"/>
      <c r="D58" s="274" t="s">
        <v>530</v>
      </c>
      <c r="E58" s="273" t="s">
        <v>32</v>
      </c>
      <c r="F58" s="272">
        <f>G12*((1*1*0.15)+((3.1416/4)*(0.3062*0.3062-0.15*0.15)))</f>
        <v>2.06</v>
      </c>
      <c r="G58" s="272">
        <f>'CPU POÇOS'!I655</f>
        <v>569.49</v>
      </c>
      <c r="H58" s="272">
        <f t="shared" si="1"/>
        <v>1173.1500000000001</v>
      </c>
      <c r="I58" s="11"/>
      <c r="J58" s="195"/>
      <c r="K58" s="121"/>
      <c r="L58" s="15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2:23" ht="12.75" customHeight="1" x14ac:dyDescent="0.25">
      <c r="I59" s="11"/>
      <c r="J59" s="195"/>
      <c r="K59" s="14"/>
      <c r="L59" s="16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2:23" ht="15.75" customHeight="1" x14ac:dyDescent="0.25">
      <c r="I60" s="11"/>
      <c r="J60" s="196"/>
      <c r="K60" s="121"/>
      <c r="L60" s="15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2:23" ht="15" customHeight="1" x14ac:dyDescent="0.25">
      <c r="I61" s="11"/>
      <c r="J61" s="196"/>
      <c r="K61" s="19"/>
      <c r="L61" s="15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2:23" ht="19.5" customHeight="1" x14ac:dyDescent="0.25">
      <c r="H62" s="18"/>
      <c r="I62" s="11"/>
      <c r="J62" s="196"/>
      <c r="K62" s="19"/>
      <c r="L62" s="20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2:23" ht="12.75" customHeight="1" x14ac:dyDescent="0.25">
      <c r="I63" s="11"/>
      <c r="J63" s="191"/>
      <c r="K63" s="17"/>
      <c r="L63" s="21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2:23" ht="12.75" customHeight="1" x14ac:dyDescent="0.25">
      <c r="I64" s="11"/>
      <c r="J64" s="197"/>
      <c r="K64" s="22"/>
      <c r="L64" s="23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9:23" ht="12.75" customHeight="1" x14ac:dyDescent="0.25">
      <c r="I65" s="11"/>
      <c r="J65" s="198"/>
      <c r="K65" s="17"/>
      <c r="L65" s="2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9:23" ht="12.75" customHeight="1" x14ac:dyDescent="0.25">
      <c r="I66" s="11"/>
      <c r="J66" s="191"/>
      <c r="K66" s="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9:23" ht="12.75" customHeight="1" x14ac:dyDescent="0.25">
      <c r="I67" s="11"/>
      <c r="J67" s="198"/>
      <c r="K67" s="22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9:23" ht="12.75" customHeight="1" x14ac:dyDescent="0.25">
      <c r="I68" s="11"/>
      <c r="J68" s="195"/>
      <c r="K68" s="19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9:23" ht="12.75" customHeight="1" x14ac:dyDescent="0.25">
      <c r="I69" s="11"/>
      <c r="J69" s="198"/>
      <c r="K69" s="19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9:23" ht="12.75" customHeight="1" x14ac:dyDescent="0.25">
      <c r="I70" s="11"/>
      <c r="J70" s="198"/>
      <c r="K70" s="17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9:23" ht="12.75" customHeight="1" x14ac:dyDescent="0.25">
      <c r="I71" s="11"/>
      <c r="J71" s="191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9:23" ht="12.75" customHeight="1" x14ac:dyDescent="0.25">
      <c r="I72" s="11"/>
      <c r="J72" s="191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9:23" ht="12.75" customHeight="1" x14ac:dyDescent="0.25">
      <c r="I73" s="11"/>
      <c r="J73" s="191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9:23" ht="12.75" customHeight="1" x14ac:dyDescent="0.25">
      <c r="I74" s="11"/>
      <c r="J74" s="198"/>
      <c r="K74" s="26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9:23" ht="12.75" customHeight="1" x14ac:dyDescent="0.25">
      <c r="I75" s="11"/>
      <c r="J75" s="191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9:23" ht="12.75" customHeight="1" x14ac:dyDescent="0.25">
      <c r="I76" s="11"/>
      <c r="J76" s="191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9:23" ht="12.75" customHeight="1" x14ac:dyDescent="0.25">
      <c r="I77" s="11"/>
      <c r="J77" s="191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9:23" ht="12.75" customHeight="1" x14ac:dyDescent="0.25">
      <c r="I78" s="11"/>
      <c r="J78" s="191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9:23" ht="12.75" customHeight="1" x14ac:dyDescent="0.25">
      <c r="I79" s="14"/>
      <c r="J79" s="191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9:23" ht="12.75" customHeight="1" x14ac:dyDescent="0.25">
      <c r="I80" s="14"/>
      <c r="J80" s="191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9:23" ht="12.75" customHeight="1" x14ac:dyDescent="0.25">
      <c r="I81" s="14"/>
      <c r="J81" s="191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9:23" ht="12.75" customHeight="1" x14ac:dyDescent="0.25">
      <c r="I82" s="580"/>
      <c r="J82" s="580"/>
      <c r="K82" s="580"/>
      <c r="L82" s="580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9:23" ht="12.75" customHeight="1" x14ac:dyDescent="0.25">
      <c r="I83" s="14"/>
      <c r="J83" s="191"/>
      <c r="K83" s="14"/>
      <c r="L83" s="1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9:23" ht="12.75" customHeight="1" x14ac:dyDescent="0.25">
      <c r="I84" s="10"/>
      <c r="J84" s="191"/>
      <c r="K84" s="14"/>
      <c r="L84" s="1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9:23" ht="12.75" customHeight="1" x14ac:dyDescent="0.25">
      <c r="I85" s="11"/>
      <c r="J85" s="199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9:23" ht="12.75" customHeight="1" x14ac:dyDescent="0.25">
      <c r="I86" s="11"/>
      <c r="J86" s="191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9:23" ht="12.75" customHeight="1" x14ac:dyDescent="0.25">
      <c r="I87" s="11"/>
      <c r="J87" s="195"/>
      <c r="K87" s="14"/>
      <c r="L87" s="15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9:23" ht="12.75" customHeight="1" x14ac:dyDescent="0.25">
      <c r="I88" s="11"/>
      <c r="J88" s="195"/>
      <c r="K88" s="14"/>
      <c r="L88" s="15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9:23" ht="12.75" customHeight="1" x14ac:dyDescent="0.25">
      <c r="I89" s="11"/>
      <c r="J89" s="195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9:23" ht="12.75" customHeight="1" x14ac:dyDescent="0.25">
      <c r="I90" s="11"/>
      <c r="J90" s="195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9:23" ht="12.75" customHeight="1" x14ac:dyDescent="0.25">
      <c r="I91" s="11"/>
      <c r="J91" s="195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9:23" ht="12.75" customHeight="1" x14ac:dyDescent="0.25">
      <c r="I92" s="11"/>
      <c r="J92" s="195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9:23" ht="12.75" customHeight="1" x14ac:dyDescent="0.25">
      <c r="I93" s="11"/>
      <c r="J93" s="191"/>
      <c r="K93" s="14"/>
      <c r="L93" s="15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9:23" ht="12.75" customHeight="1" x14ac:dyDescent="0.25">
      <c r="I94" s="11"/>
      <c r="J94" s="200"/>
      <c r="K94" s="14"/>
      <c r="L94" s="15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9:23" ht="12.75" customHeight="1" x14ac:dyDescent="0.25">
      <c r="I95" s="11"/>
      <c r="J95" s="191"/>
      <c r="K95" s="14"/>
      <c r="L95" s="2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9:23" ht="12.75" customHeight="1" x14ac:dyDescent="0.25">
      <c r="I96" s="11"/>
      <c r="J96" s="195"/>
      <c r="K96" s="14"/>
      <c r="L96" s="15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 x14ac:dyDescent="0.25">
      <c r="I97" s="11"/>
      <c r="J97" s="195"/>
      <c r="K97" s="14"/>
      <c r="L97" s="15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 x14ac:dyDescent="0.25">
      <c r="I98" s="11"/>
      <c r="J98" s="200"/>
      <c r="K98" s="14"/>
      <c r="L98" s="15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 x14ac:dyDescent="0.25">
      <c r="I99" s="11"/>
      <c r="J99" s="195"/>
      <c r="K99" s="14"/>
      <c r="L99" s="28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 x14ac:dyDescent="0.25">
      <c r="I100" s="11"/>
      <c r="J100" s="195"/>
      <c r="K100" s="14"/>
      <c r="L100" s="28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 x14ac:dyDescent="0.25">
      <c r="I101" s="11"/>
      <c r="J101" s="195"/>
      <c r="K101" s="24"/>
      <c r="L101" s="28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 x14ac:dyDescent="0.25">
      <c r="I102" s="11"/>
      <c r="J102" s="200"/>
      <c r="K102" s="24"/>
      <c r="L102" s="28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 x14ac:dyDescent="0.25">
      <c r="I103" s="11"/>
      <c r="J103" s="191"/>
      <c r="K103" s="24"/>
      <c r="L103" s="28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 x14ac:dyDescent="0.25">
      <c r="I104" s="11"/>
      <c r="J104" s="191"/>
      <c r="K104" s="24"/>
      <c r="L104" s="28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 x14ac:dyDescent="0.25">
      <c r="I105" s="11"/>
      <c r="J105" s="200"/>
      <c r="K105" s="24"/>
      <c r="L105" s="28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 x14ac:dyDescent="0.25">
      <c r="I106" s="11"/>
      <c r="J106" s="200"/>
      <c r="K106" s="24"/>
      <c r="L106" s="28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 x14ac:dyDescent="0.25">
      <c r="I107" s="11"/>
      <c r="J107" s="191"/>
      <c r="K107" s="24"/>
      <c r="L107" s="28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 x14ac:dyDescent="0.25">
      <c r="I108" s="11"/>
      <c r="J108" s="191"/>
      <c r="K108" s="24"/>
      <c r="L108" s="28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 x14ac:dyDescent="0.25">
      <c r="I109" s="11"/>
      <c r="J109" s="200"/>
      <c r="K109" s="24"/>
      <c r="L109" s="28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 x14ac:dyDescent="0.25">
      <c r="I110" s="11"/>
      <c r="J110" s="200"/>
      <c r="K110" s="24"/>
      <c r="L110" s="28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 x14ac:dyDescent="0.25">
      <c r="I111" s="11"/>
      <c r="J111" s="191"/>
      <c r="K111" s="24"/>
      <c r="L111" s="28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 x14ac:dyDescent="0.25">
      <c r="I112" s="11"/>
      <c r="J112" s="191"/>
      <c r="K112" s="14"/>
      <c r="L112" s="29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 x14ac:dyDescent="0.25">
      <c r="I113" s="11"/>
      <c r="J113" s="191"/>
      <c r="K113" s="14"/>
      <c r="L113" s="28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 x14ac:dyDescent="0.25">
      <c r="I114" s="11"/>
      <c r="J114" s="191"/>
      <c r="K114" s="24"/>
      <c r="L114" s="30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 x14ac:dyDescent="0.25">
      <c r="I115" s="11"/>
      <c r="J115" s="191"/>
      <c r="K115" s="14"/>
      <c r="L115" s="28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 x14ac:dyDescent="0.25">
      <c r="I116" s="11"/>
      <c r="J116" s="191"/>
      <c r="K116" s="14"/>
      <c r="L116" s="31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 x14ac:dyDescent="0.25">
      <c r="I117" s="11"/>
      <c r="J117" s="191"/>
      <c r="K117" s="14"/>
      <c r="L117" s="13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 x14ac:dyDescent="0.25">
      <c r="I118" s="11"/>
      <c r="J118" s="191"/>
      <c r="K118" s="14"/>
      <c r="L118" s="1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 x14ac:dyDescent="0.25">
      <c r="I119" s="11"/>
      <c r="J119" s="191"/>
      <c r="K119" s="14"/>
      <c r="L119" s="16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 x14ac:dyDescent="0.25">
      <c r="I120" s="11"/>
      <c r="J120" s="191"/>
      <c r="K120" s="14"/>
      <c r="L120" s="20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 x14ac:dyDescent="0.25">
      <c r="I121" s="11"/>
      <c r="J121" s="191"/>
      <c r="K121" s="14"/>
      <c r="L121" s="21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 x14ac:dyDescent="0.25">
      <c r="I122" s="11"/>
      <c r="J122" s="200"/>
      <c r="K122" s="14"/>
      <c r="L122" s="25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 x14ac:dyDescent="0.25">
      <c r="I123" s="11"/>
      <c r="J123" s="191"/>
      <c r="K123" s="14"/>
      <c r="L123" s="32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 x14ac:dyDescent="0.25">
      <c r="I124" s="11"/>
      <c r="J124" s="191"/>
      <c r="K124" s="14"/>
      <c r="L124" s="15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 x14ac:dyDescent="0.25">
      <c r="I125" s="12"/>
      <c r="J125" s="191"/>
      <c r="K125" s="14"/>
      <c r="L125" s="15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 x14ac:dyDescent="0.25">
      <c r="I126" s="12"/>
      <c r="J126" s="191"/>
      <c r="K126" s="14"/>
      <c r="L126" s="15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 x14ac:dyDescent="0.25">
      <c r="I127" s="11"/>
      <c r="J127" s="191"/>
      <c r="K127" s="14"/>
      <c r="L127" s="15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 x14ac:dyDescent="0.25">
      <c r="I128" s="11"/>
      <c r="J128" s="191"/>
      <c r="K128" s="14"/>
      <c r="L128" s="2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 x14ac:dyDescent="0.25">
      <c r="I129" s="11"/>
      <c r="J129" s="191"/>
      <c r="K129" s="1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 x14ac:dyDescent="0.25">
      <c r="I130" s="11"/>
      <c r="J130" s="191"/>
      <c r="K130" s="24"/>
      <c r="L130" s="29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 x14ac:dyDescent="0.25">
      <c r="I131" s="11"/>
      <c r="J131" s="195"/>
      <c r="K131" s="24"/>
      <c r="L131" s="29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 x14ac:dyDescent="0.25">
      <c r="I132" s="11"/>
      <c r="J132" s="194"/>
      <c r="K132" s="24"/>
      <c r="L132" s="29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 x14ac:dyDescent="0.25">
      <c r="I133" s="11"/>
      <c r="J133" s="194"/>
      <c r="K133" s="24"/>
      <c r="L133" s="29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 x14ac:dyDescent="0.25">
      <c r="I134" s="11"/>
      <c r="J134" s="194"/>
      <c r="K134" s="24"/>
      <c r="L134" s="29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 x14ac:dyDescent="0.25">
      <c r="I135" s="11"/>
      <c r="J135" s="194"/>
      <c r="K135" s="24"/>
      <c r="L135" s="29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 x14ac:dyDescent="0.25">
      <c r="I136" s="11"/>
      <c r="J136" s="191"/>
      <c r="K136" s="24"/>
      <c r="L136" s="28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 x14ac:dyDescent="0.25">
      <c r="I137" s="11"/>
      <c r="J137" s="198"/>
      <c r="K137" s="17"/>
      <c r="L137" s="28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 x14ac:dyDescent="0.25">
      <c r="I138" s="11"/>
      <c r="J138" s="198"/>
      <c r="K138" s="15"/>
      <c r="L138" s="28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 x14ac:dyDescent="0.25">
      <c r="I139" s="27"/>
      <c r="J139" s="198"/>
      <c r="K139" s="15"/>
      <c r="L139" s="28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 x14ac:dyDescent="0.25">
      <c r="I140" s="11"/>
      <c r="J140" s="198"/>
      <c r="K140" s="15"/>
      <c r="L140" s="28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 x14ac:dyDescent="0.25">
      <c r="I141" s="11"/>
      <c r="J141" s="200"/>
      <c r="K141" s="15"/>
      <c r="L141" s="28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 x14ac:dyDescent="0.25">
      <c r="I142" s="11"/>
      <c r="J142" s="198"/>
      <c r="K142" s="17"/>
      <c r="L142" s="28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 x14ac:dyDescent="0.25">
      <c r="I143" s="11"/>
      <c r="J143" s="198"/>
      <c r="K143" s="17"/>
      <c r="L143" s="28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 x14ac:dyDescent="0.25">
      <c r="I144" s="11"/>
      <c r="J144" s="191"/>
      <c r="K144" s="14"/>
      <c r="L144" s="28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 x14ac:dyDescent="0.25">
      <c r="I145" s="11"/>
      <c r="J145" s="191"/>
      <c r="K145" s="14"/>
      <c r="L145" s="28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 x14ac:dyDescent="0.25">
      <c r="I146" s="580"/>
      <c r="J146" s="580"/>
      <c r="K146" s="580"/>
      <c r="L146" s="580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 x14ac:dyDescent="0.25">
      <c r="I147" s="14"/>
      <c r="J147" s="191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 x14ac:dyDescent="0.25">
      <c r="I148" s="10"/>
      <c r="J148" s="191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 x14ac:dyDescent="0.25">
      <c r="I149" s="11"/>
      <c r="J149" s="199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 x14ac:dyDescent="0.25">
      <c r="I150" s="11"/>
      <c r="J150" s="191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 x14ac:dyDescent="0.25">
      <c r="I151" s="11"/>
      <c r="J151" s="195"/>
      <c r="K151" s="14"/>
      <c r="L151" s="15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 x14ac:dyDescent="0.25">
      <c r="I152" s="11"/>
      <c r="J152" s="195"/>
      <c r="K152" s="14"/>
      <c r="L152" s="15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 x14ac:dyDescent="0.25">
      <c r="I153" s="11"/>
      <c r="J153" s="195"/>
      <c r="K153" s="14"/>
      <c r="L153" s="15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 x14ac:dyDescent="0.25">
      <c r="I154" s="11"/>
      <c r="J154" s="195"/>
      <c r="K154" s="14"/>
      <c r="L154" s="15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 x14ac:dyDescent="0.25">
      <c r="I155" s="11"/>
      <c r="J155" s="195"/>
      <c r="K155" s="14"/>
      <c r="L155" s="28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 x14ac:dyDescent="0.25">
      <c r="I156" s="11"/>
      <c r="J156" s="195"/>
      <c r="K156" s="24"/>
      <c r="L156" s="28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 x14ac:dyDescent="0.25">
      <c r="I157" s="11"/>
      <c r="J157" s="195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 x14ac:dyDescent="0.25">
      <c r="I158" s="11"/>
      <c r="J158" s="195"/>
      <c r="K158" s="24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 x14ac:dyDescent="0.25">
      <c r="I159" s="11"/>
      <c r="J159" s="195"/>
      <c r="K159" s="24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 x14ac:dyDescent="0.25">
      <c r="I160" s="11"/>
      <c r="J160" s="195"/>
      <c r="K160" s="24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 x14ac:dyDescent="0.25">
      <c r="I161" s="11"/>
      <c r="J161" s="195"/>
      <c r="K161" s="14"/>
      <c r="L161" s="29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 x14ac:dyDescent="0.25">
      <c r="I162" s="11"/>
      <c r="J162" s="195"/>
      <c r="K162" s="14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 x14ac:dyDescent="0.25">
      <c r="I163" s="11"/>
      <c r="J163" s="191"/>
      <c r="K163" s="24"/>
      <c r="L163" s="30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 x14ac:dyDescent="0.25">
      <c r="I164" s="11"/>
      <c r="J164" s="200"/>
      <c r="K164" s="14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 x14ac:dyDescent="0.25">
      <c r="I165" s="11"/>
      <c r="J165" s="191"/>
      <c r="K165" s="14"/>
      <c r="L165" s="31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 x14ac:dyDescent="0.25">
      <c r="I166" s="11"/>
      <c r="J166" s="195"/>
      <c r="K166" s="14"/>
      <c r="L166" s="13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 x14ac:dyDescent="0.25">
      <c r="I167" s="11"/>
      <c r="J167" s="195"/>
      <c r="K167" s="14"/>
      <c r="L167" s="15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 x14ac:dyDescent="0.25">
      <c r="I168" s="11"/>
      <c r="J168" s="200"/>
      <c r="K168" s="14"/>
      <c r="L168" s="16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 x14ac:dyDescent="0.25">
      <c r="I169" s="11"/>
      <c r="J169" s="195"/>
      <c r="K169" s="14"/>
      <c r="L169" s="20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 x14ac:dyDescent="0.25">
      <c r="I170" s="11"/>
      <c r="J170" s="195"/>
      <c r="K170" s="14"/>
      <c r="L170" s="21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 x14ac:dyDescent="0.25">
      <c r="I171" s="11"/>
      <c r="J171" s="191"/>
      <c r="K171" s="14"/>
      <c r="L171" s="25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 x14ac:dyDescent="0.25">
      <c r="I172" s="11"/>
      <c r="J172" s="191"/>
      <c r="K172" s="14"/>
      <c r="L172" s="32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 x14ac:dyDescent="0.25">
      <c r="I173" s="11"/>
      <c r="J173" s="191"/>
      <c r="K173" s="14"/>
      <c r="L173" s="15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 x14ac:dyDescent="0.25">
      <c r="I174" s="11"/>
      <c r="J174" s="191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 x14ac:dyDescent="0.25">
      <c r="I175" s="11"/>
      <c r="J175" s="191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 x14ac:dyDescent="0.25">
      <c r="I176" s="11"/>
      <c r="J176" s="191"/>
      <c r="K176" s="14"/>
      <c r="L176" s="15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 x14ac:dyDescent="0.25">
      <c r="I177" s="11"/>
      <c r="J177" s="191"/>
      <c r="K177" s="14"/>
      <c r="L177" s="28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 x14ac:dyDescent="0.25">
      <c r="I178" s="11"/>
      <c r="J178" s="191"/>
      <c r="K178" s="1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 x14ac:dyDescent="0.25">
      <c r="I179" s="11"/>
      <c r="J179" s="191"/>
      <c r="K179" s="24"/>
      <c r="L179" s="29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 x14ac:dyDescent="0.25">
      <c r="I180" s="11"/>
      <c r="J180" s="191"/>
      <c r="K180" s="24"/>
      <c r="L180" s="29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 x14ac:dyDescent="0.25">
      <c r="I181" s="11"/>
      <c r="J181" s="200"/>
      <c r="K181" s="17"/>
      <c r="L181" s="29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 x14ac:dyDescent="0.25">
      <c r="I182" s="11"/>
      <c r="J182" s="191"/>
      <c r="K182" s="24"/>
      <c r="L182" s="29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 x14ac:dyDescent="0.25">
      <c r="I183" s="11"/>
      <c r="J183" s="191"/>
      <c r="K183" s="24"/>
      <c r="L183" s="29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 x14ac:dyDescent="0.25">
      <c r="I184" s="12"/>
      <c r="J184" s="191"/>
      <c r="K184" s="24"/>
      <c r="L184" s="29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 x14ac:dyDescent="0.25"/>
    <row r="186" spans="9:23" ht="12.75" customHeight="1" x14ac:dyDescent="0.25"/>
    <row r="187" spans="9:23" ht="12.75" customHeight="1" x14ac:dyDescent="0.25"/>
    <row r="188" spans="9:23" ht="12.75" customHeight="1" x14ac:dyDescent="0.25"/>
    <row r="189" spans="9:23" ht="12.75" customHeight="1" x14ac:dyDescent="0.25"/>
    <row r="190" spans="9:23" ht="12.75" customHeight="1" x14ac:dyDescent="0.25"/>
    <row r="191" spans="9:23" ht="12.75" customHeight="1" x14ac:dyDescent="0.25"/>
    <row r="192" spans="9:23" ht="15" customHeight="1" x14ac:dyDescent="0.25"/>
    <row r="242" ht="12.75" customHeight="1" x14ac:dyDescent="0.25"/>
    <row r="286" ht="16.5" customHeight="1" x14ac:dyDescent="0.25"/>
  </sheetData>
  <mergeCells count="18">
    <mergeCell ref="I82:L82"/>
    <mergeCell ref="I146:L146"/>
    <mergeCell ref="D16:G16"/>
    <mergeCell ref="B13:H13"/>
    <mergeCell ref="B14:B15"/>
    <mergeCell ref="D14:D15"/>
    <mergeCell ref="E14:E15"/>
    <mergeCell ref="F14:F15"/>
    <mergeCell ref="G14:H14"/>
    <mergeCell ref="B10:C12"/>
    <mergeCell ref="H11:H12"/>
    <mergeCell ref="B2:H5"/>
    <mergeCell ref="B6:C7"/>
    <mergeCell ref="D6:H7"/>
    <mergeCell ref="B8:C9"/>
    <mergeCell ref="D8:H9"/>
    <mergeCell ref="D10:E12"/>
    <mergeCell ref="F10:G10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2" orientation="portrait" horizontalDpi="300" verticalDpi="300" r:id="rId1"/>
  <headerFooter alignWithMargins="0"/>
  <rowBreaks count="1" manualBreakCount="1">
    <brk id="37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307"/>
  <sheetViews>
    <sheetView view="pageBreakPreview" zoomScale="90" zoomScaleNormal="110" zoomScaleSheetLayoutView="90" workbookViewId="0"/>
  </sheetViews>
  <sheetFormatPr defaultColWidth="11.42578125" defaultRowHeight="15.75" x14ac:dyDescent="0.25"/>
  <cols>
    <col min="1" max="1" width="2.42578125" style="1" customWidth="1"/>
    <col min="2" max="2" width="7.42578125" style="1" customWidth="1"/>
    <col min="3" max="3" width="11.42578125" style="1" hidden="1" customWidth="1"/>
    <col min="4" max="4" width="67.28515625" style="2" customWidth="1"/>
    <col min="5" max="5" width="12.140625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186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2" spans="2:11" ht="12" customHeight="1" x14ac:dyDescent="0.25">
      <c r="B2" s="564"/>
      <c r="C2" s="564"/>
      <c r="D2" s="564"/>
      <c r="E2" s="564"/>
      <c r="F2" s="564"/>
      <c r="G2" s="564"/>
      <c r="H2" s="564"/>
    </row>
    <row r="3" spans="2:11" s="4" customFormat="1" ht="12" customHeight="1" x14ac:dyDescent="0.25">
      <c r="B3" s="564"/>
      <c r="C3" s="564"/>
      <c r="D3" s="564"/>
      <c r="E3" s="564"/>
      <c r="F3" s="564"/>
      <c r="G3" s="564"/>
      <c r="H3" s="564"/>
      <c r="J3" s="187"/>
    </row>
    <row r="4" spans="2:11" s="4" customFormat="1" ht="12.75" customHeight="1" x14ac:dyDescent="0.25">
      <c r="B4" s="564"/>
      <c r="C4" s="564"/>
      <c r="D4" s="564"/>
      <c r="E4" s="564"/>
      <c r="F4" s="564"/>
      <c r="G4" s="564"/>
      <c r="H4" s="564"/>
      <c r="J4" s="187"/>
    </row>
    <row r="5" spans="2:11" s="4" customFormat="1" ht="15.75" customHeight="1" x14ac:dyDescent="0.25">
      <c r="B5" s="564"/>
      <c r="C5" s="564"/>
      <c r="D5" s="564"/>
      <c r="E5" s="564"/>
      <c r="F5" s="564"/>
      <c r="G5" s="564"/>
      <c r="H5" s="564"/>
      <c r="J5" s="187"/>
    </row>
    <row r="6" spans="2:11" s="4" customFormat="1" ht="12.75" customHeight="1" x14ac:dyDescent="0.25">
      <c r="B6" s="570" t="s">
        <v>0</v>
      </c>
      <c r="C6" s="570"/>
      <c r="D6" s="565" t="s">
        <v>573</v>
      </c>
      <c r="E6" s="565"/>
      <c r="F6" s="565"/>
      <c r="G6" s="565"/>
      <c r="H6" s="565"/>
    </row>
    <row r="7" spans="2:11" s="4" customFormat="1" ht="12.75" customHeight="1" x14ac:dyDescent="0.25">
      <c r="B7" s="570"/>
      <c r="C7" s="570"/>
      <c r="D7" s="565"/>
      <c r="E7" s="565"/>
      <c r="F7" s="565"/>
      <c r="G7" s="565"/>
      <c r="H7" s="565"/>
      <c r="J7" s="187"/>
    </row>
    <row r="8" spans="2:11" s="4" customFormat="1" ht="12.75" customHeight="1" x14ac:dyDescent="0.25">
      <c r="B8" s="570" t="s">
        <v>368</v>
      </c>
      <c r="C8" s="570"/>
      <c r="D8" s="566" t="s">
        <v>367</v>
      </c>
      <c r="E8" s="566"/>
      <c r="F8" s="566"/>
      <c r="G8" s="566"/>
      <c r="H8" s="566"/>
      <c r="J8" s="187"/>
    </row>
    <row r="9" spans="2:11" s="4" customFormat="1" ht="27.75" customHeight="1" x14ac:dyDescent="0.25">
      <c r="B9" s="570"/>
      <c r="C9" s="570"/>
      <c r="D9" s="566"/>
      <c r="E9" s="566"/>
      <c r="F9" s="566"/>
      <c r="G9" s="566"/>
      <c r="H9" s="566"/>
      <c r="J9" s="187"/>
    </row>
    <row r="10" spans="2:11" s="4" customFormat="1" ht="30.75" customHeight="1" x14ac:dyDescent="0.25">
      <c r="B10" s="570" t="s">
        <v>369</v>
      </c>
      <c r="C10" s="570"/>
      <c r="D10" s="588" t="s">
        <v>572</v>
      </c>
      <c r="E10" s="578" t="s">
        <v>375</v>
      </c>
      <c r="F10" s="587"/>
      <c r="G10" s="579"/>
      <c r="H10" s="417" t="s">
        <v>370</v>
      </c>
      <c r="J10" s="187"/>
    </row>
    <row r="11" spans="2:11" s="4" customFormat="1" ht="41.25" customHeight="1" x14ac:dyDescent="0.25">
      <c r="B11" s="570"/>
      <c r="C11" s="570"/>
      <c r="D11" s="589"/>
      <c r="E11" s="501" t="s">
        <v>600</v>
      </c>
      <c r="F11" s="501" t="s">
        <v>645</v>
      </c>
      <c r="G11" s="416" t="s">
        <v>376</v>
      </c>
      <c r="H11" s="571">
        <f>H16+H22+H39+H47+H61</f>
        <v>3973260.32</v>
      </c>
      <c r="J11" s="187"/>
    </row>
    <row r="12" spans="2:11" s="4" customFormat="1" ht="18" customHeight="1" x14ac:dyDescent="0.25">
      <c r="B12" s="570"/>
      <c r="C12" s="570"/>
      <c r="D12" s="590"/>
      <c r="E12" s="295">
        <v>140</v>
      </c>
      <c r="F12" s="295">
        <v>50</v>
      </c>
      <c r="G12" s="295">
        <f>PERFURAÇÃO!G12</f>
        <v>10</v>
      </c>
      <c r="H12" s="571"/>
      <c r="J12" s="187"/>
    </row>
    <row r="13" spans="2:11" s="4" customFormat="1" ht="34.5" customHeight="1" x14ac:dyDescent="0.25">
      <c r="B13" s="584" t="s">
        <v>1</v>
      </c>
      <c r="C13" s="560"/>
      <c r="D13" s="560"/>
      <c r="E13" s="560"/>
      <c r="F13" s="560"/>
      <c r="G13" s="560"/>
      <c r="H13" s="561"/>
      <c r="J13" s="187"/>
      <c r="K13" s="177"/>
    </row>
    <row r="14" spans="2:11" s="6" customFormat="1" ht="20.25" customHeight="1" x14ac:dyDescent="0.2">
      <c r="B14" s="585" t="s">
        <v>2</v>
      </c>
      <c r="C14" s="440" t="s">
        <v>3</v>
      </c>
      <c r="D14" s="586" t="s">
        <v>4</v>
      </c>
      <c r="E14" s="586" t="s">
        <v>5</v>
      </c>
      <c r="F14" s="586" t="s">
        <v>6</v>
      </c>
      <c r="G14" s="565" t="s">
        <v>7</v>
      </c>
      <c r="H14" s="565"/>
      <c r="K14" s="5"/>
    </row>
    <row r="15" spans="2:11" s="6" customFormat="1" ht="24" customHeight="1" x14ac:dyDescent="0.2">
      <c r="B15" s="585"/>
      <c r="C15" s="440"/>
      <c r="D15" s="586"/>
      <c r="E15" s="586"/>
      <c r="F15" s="586"/>
      <c r="G15" s="421" t="s">
        <v>8</v>
      </c>
      <c r="H15" s="295" t="s">
        <v>9</v>
      </c>
      <c r="K15" s="5"/>
    </row>
    <row r="16" spans="2:11" s="8" customFormat="1" x14ac:dyDescent="0.2">
      <c r="B16" s="496">
        <v>1</v>
      </c>
      <c r="C16" s="497">
        <v>10101</v>
      </c>
      <c r="D16" s="581" t="s">
        <v>10</v>
      </c>
      <c r="E16" s="582"/>
      <c r="F16" s="582"/>
      <c r="G16" s="583"/>
      <c r="H16" s="498">
        <f>SUM(H17:H21)</f>
        <v>180953.88</v>
      </c>
      <c r="J16" s="188"/>
      <c r="K16" s="5"/>
    </row>
    <row r="17" spans="2:11" s="8" customFormat="1" ht="23.25" customHeight="1" x14ac:dyDescent="0.2">
      <c r="B17" s="273" t="s">
        <v>11</v>
      </c>
      <c r="C17" s="296"/>
      <c r="D17" s="297" t="s">
        <v>12</v>
      </c>
      <c r="E17" s="275" t="s">
        <v>398</v>
      </c>
      <c r="F17" s="293">
        <v>6</v>
      </c>
      <c r="G17" s="293">
        <f>'CPU POÇOS'!I26</f>
        <v>786.49</v>
      </c>
      <c r="H17" s="293">
        <f>G17*F17</f>
        <v>4718.9399999999996</v>
      </c>
      <c r="J17" s="189"/>
      <c r="K17" s="5"/>
    </row>
    <row r="18" spans="2:11" s="8" customFormat="1" ht="23.25" customHeight="1" x14ac:dyDescent="0.2">
      <c r="B18" s="273" t="s">
        <v>14</v>
      </c>
      <c r="C18" s="296"/>
      <c r="D18" s="297" t="s">
        <v>15</v>
      </c>
      <c r="E18" s="275" t="s">
        <v>398</v>
      </c>
      <c r="F18" s="293">
        <v>6</v>
      </c>
      <c r="G18" s="293">
        <f>'CPU POÇOS'!I58</f>
        <v>786.49</v>
      </c>
      <c r="H18" s="293">
        <f>G18*F18</f>
        <v>4718.9399999999996</v>
      </c>
      <c r="J18" s="190" t="s">
        <v>341</v>
      </c>
      <c r="K18" s="5"/>
    </row>
    <row r="19" spans="2:11" s="8" customFormat="1" ht="32.25" customHeight="1" x14ac:dyDescent="0.2">
      <c r="B19" s="273" t="s">
        <v>16</v>
      </c>
      <c r="C19" s="296"/>
      <c r="D19" s="297" t="s">
        <v>17</v>
      </c>
      <c r="E19" s="273" t="s">
        <v>85</v>
      </c>
      <c r="F19" s="293">
        <f>2*3*6*4</f>
        <v>144</v>
      </c>
      <c r="G19" s="293">
        <f>'CPU POÇOS'!I92</f>
        <v>379.46</v>
      </c>
      <c r="H19" s="293">
        <f>G19*F19</f>
        <v>54642.239999999998</v>
      </c>
      <c r="J19" s="188"/>
    </row>
    <row r="20" spans="2:11" s="8" customFormat="1" ht="33.75" customHeight="1" x14ac:dyDescent="0.2">
      <c r="B20" s="273" t="s">
        <v>18</v>
      </c>
      <c r="C20" s="296"/>
      <c r="D20" s="441" t="s">
        <v>365</v>
      </c>
      <c r="E20" s="273" t="s">
        <v>19</v>
      </c>
      <c r="F20" s="293">
        <v>12</v>
      </c>
      <c r="G20" s="293">
        <f>'Veículo Fiscalização'!D44</f>
        <v>5581.22</v>
      </c>
      <c r="H20" s="293">
        <f>G20*F20</f>
        <v>66974.64</v>
      </c>
      <c r="J20" s="188"/>
      <c r="K20" s="5"/>
    </row>
    <row r="21" spans="2:11" s="9" customFormat="1" ht="20.25" customHeight="1" x14ac:dyDescent="0.2">
      <c r="B21" s="273" t="s">
        <v>20</v>
      </c>
      <c r="C21" s="298"/>
      <c r="D21" s="299" t="s">
        <v>371</v>
      </c>
      <c r="E21" s="273" t="s">
        <v>19</v>
      </c>
      <c r="F21" s="293">
        <v>12</v>
      </c>
      <c r="G21" s="293">
        <f>'CPU POÇOS'!I160</f>
        <v>4158.26</v>
      </c>
      <c r="H21" s="293">
        <f>G21*F21</f>
        <v>49899.12</v>
      </c>
      <c r="J21" s="191"/>
      <c r="K21" s="5"/>
    </row>
    <row r="22" spans="2:11" s="9" customFormat="1" ht="27.75" customHeight="1" x14ac:dyDescent="0.2">
      <c r="B22" s="300">
        <v>2</v>
      </c>
      <c r="C22" s="301"/>
      <c r="D22" s="591" t="s">
        <v>599</v>
      </c>
      <c r="E22" s="592"/>
      <c r="F22" s="592"/>
      <c r="G22" s="592"/>
      <c r="H22" s="498">
        <f>SUM(H23:H38)</f>
        <v>2554980.4300000002</v>
      </c>
      <c r="J22" s="191"/>
      <c r="K22" s="5"/>
    </row>
    <row r="23" spans="2:11" s="9" customFormat="1" ht="47.25" x14ac:dyDescent="0.2">
      <c r="B23" s="273" t="s">
        <v>21</v>
      </c>
      <c r="C23" s="298"/>
      <c r="D23" s="274" t="s">
        <v>646</v>
      </c>
      <c r="E23" s="275" t="s">
        <v>27</v>
      </c>
      <c r="F23" s="293">
        <f>E12*30</f>
        <v>4200</v>
      </c>
      <c r="G23" s="293">
        <f>'CPU POÇOS'!I972</f>
        <v>24.64</v>
      </c>
      <c r="H23" s="293">
        <f>G23*F23</f>
        <v>103488</v>
      </c>
      <c r="J23" s="191"/>
    </row>
    <row r="24" spans="2:11" s="9" customFormat="1" ht="78.75" customHeight="1" x14ac:dyDescent="0.2">
      <c r="B24" s="273" t="s">
        <v>23</v>
      </c>
      <c r="C24" s="298"/>
      <c r="D24" s="306" t="s">
        <v>429</v>
      </c>
      <c r="E24" s="275" t="s">
        <v>398</v>
      </c>
      <c r="F24" s="293">
        <f>E12</f>
        <v>140</v>
      </c>
      <c r="G24" s="293">
        <f>'CPU POÇOS'!I1022</f>
        <v>4973.5</v>
      </c>
      <c r="H24" s="293">
        <f>G24*F24</f>
        <v>696290</v>
      </c>
      <c r="J24" s="191"/>
    </row>
    <row r="25" spans="2:11" s="8" customFormat="1" ht="36.75" customHeight="1" x14ac:dyDescent="0.2">
      <c r="B25" s="273" t="s">
        <v>25</v>
      </c>
      <c r="C25" s="296"/>
      <c r="D25" s="307" t="s">
        <v>362</v>
      </c>
      <c r="E25" s="273" t="s">
        <v>85</v>
      </c>
      <c r="F25" s="293">
        <f>(3.5*1.5+2*2+1*1)*E12</f>
        <v>1435</v>
      </c>
      <c r="G25" s="293">
        <f>'CPU POÇOS'!I223</f>
        <v>1.31</v>
      </c>
      <c r="H25" s="293">
        <f t="shared" ref="H25:H60" si="0">G25*F25</f>
        <v>1879.85</v>
      </c>
      <c r="J25" s="188"/>
    </row>
    <row r="26" spans="2:11" s="9" customFormat="1" ht="49.5" customHeight="1" x14ac:dyDescent="0.2">
      <c r="B26" s="273" t="s">
        <v>28</v>
      </c>
      <c r="C26" s="298"/>
      <c r="D26" s="306" t="s">
        <v>41</v>
      </c>
      <c r="E26" s="275" t="s">
        <v>32</v>
      </c>
      <c r="F26" s="293">
        <f>E12*(1.4+1.4+1.4+1.4+0.7+0.7+0.7+0.7+3+3+1.2+1.2)*0.4*0.3</f>
        <v>282.24</v>
      </c>
      <c r="G26" s="293">
        <f>'CPU POÇOS'!I1053</f>
        <v>21.23</v>
      </c>
      <c r="H26" s="293">
        <f t="shared" si="0"/>
        <v>5991.96</v>
      </c>
      <c r="J26" s="191" t="s">
        <v>355</v>
      </c>
    </row>
    <row r="27" spans="2:11" s="9" customFormat="1" ht="24" customHeight="1" x14ac:dyDescent="0.2">
      <c r="B27" s="273" t="s">
        <v>30</v>
      </c>
      <c r="C27" s="298"/>
      <c r="D27" s="306" t="s">
        <v>43</v>
      </c>
      <c r="E27" s="275" t="s">
        <v>32</v>
      </c>
      <c r="F27" s="293">
        <f>(F26-E12*((1.4+1.4+1.4+1.4+0.7+7+0.7+0.7+3+3+1.2+1.2)*0.4*0.2)+(1.4*1.4)*0.1+(0.7*0.7)*0.5+(3*1.2)*0.1)</f>
        <v>24.32</v>
      </c>
      <c r="G27" s="293">
        <f>'CPU POÇOS'!I1083</f>
        <v>19.25</v>
      </c>
      <c r="H27" s="293">
        <f t="shared" si="0"/>
        <v>468.16</v>
      </c>
      <c r="J27" s="191" t="s">
        <v>356</v>
      </c>
    </row>
    <row r="28" spans="2:11" s="9" customFormat="1" ht="51.75" customHeight="1" x14ac:dyDescent="0.2">
      <c r="B28" s="273" t="s">
        <v>569</v>
      </c>
      <c r="C28" s="298"/>
      <c r="D28" s="308" t="s">
        <v>45</v>
      </c>
      <c r="E28" s="275" t="s">
        <v>32</v>
      </c>
      <c r="F28" s="293">
        <f>F23*0.4*0.3</f>
        <v>504</v>
      </c>
      <c r="G28" s="293">
        <f>'CPU POÇOS'!I1053</f>
        <v>21.23</v>
      </c>
      <c r="H28" s="293">
        <f t="shared" si="0"/>
        <v>10699.92</v>
      </c>
      <c r="J28" s="191" t="s">
        <v>355</v>
      </c>
    </row>
    <row r="29" spans="2:11" s="9" customFormat="1" ht="26.25" customHeight="1" x14ac:dyDescent="0.2">
      <c r="B29" s="273" t="s">
        <v>570</v>
      </c>
      <c r="C29" s="298"/>
      <c r="D29" s="308" t="s">
        <v>47</v>
      </c>
      <c r="E29" s="275" t="s">
        <v>32</v>
      </c>
      <c r="F29" s="293">
        <f>F28</f>
        <v>504</v>
      </c>
      <c r="G29" s="293">
        <f>'CPU POÇOS'!I1083</f>
        <v>19.25</v>
      </c>
      <c r="H29" s="293">
        <f t="shared" si="0"/>
        <v>9702</v>
      </c>
      <c r="J29" s="191" t="s">
        <v>356</v>
      </c>
    </row>
    <row r="30" spans="2:11" s="9" customFormat="1" ht="34.5" customHeight="1" x14ac:dyDescent="0.2">
      <c r="B30" s="273" t="s">
        <v>33</v>
      </c>
      <c r="C30" s="298"/>
      <c r="D30" s="306" t="s">
        <v>374</v>
      </c>
      <c r="E30" s="275" t="s">
        <v>27</v>
      </c>
      <c r="F30" s="293">
        <f>E12*20</f>
        <v>2800</v>
      </c>
      <c r="G30" s="293">
        <f>'CPU POÇOS'!I1118</f>
        <v>10.63</v>
      </c>
      <c r="H30" s="293">
        <f t="shared" si="0"/>
        <v>29764</v>
      </c>
      <c r="J30" s="191" t="s">
        <v>357</v>
      </c>
    </row>
    <row r="31" spans="2:11" s="9" customFormat="1" ht="53.25" customHeight="1" x14ac:dyDescent="0.2">
      <c r="B31" s="273" t="s">
        <v>340</v>
      </c>
      <c r="C31" s="298"/>
      <c r="D31" s="424" t="s">
        <v>647</v>
      </c>
      <c r="E31" s="275" t="s">
        <v>398</v>
      </c>
      <c r="F31" s="293">
        <f>E12</f>
        <v>140</v>
      </c>
      <c r="G31" s="293">
        <f>'CPU POÇOS'!I1154</f>
        <v>3447.28</v>
      </c>
      <c r="H31" s="293">
        <f t="shared" si="0"/>
        <v>482619.2</v>
      </c>
      <c r="J31" s="191"/>
    </row>
    <row r="32" spans="2:11" s="9" customFormat="1" ht="51.75" customHeight="1" x14ac:dyDescent="0.2">
      <c r="B32" s="273" t="s">
        <v>423</v>
      </c>
      <c r="C32" s="423"/>
      <c r="D32" s="424" t="s">
        <v>648</v>
      </c>
      <c r="E32" s="425" t="s">
        <v>398</v>
      </c>
      <c r="F32" s="293">
        <f>E12*(3+3+3+2.1)</f>
        <v>1554</v>
      </c>
      <c r="G32" s="293">
        <f>'CPU POÇOS'!I1191</f>
        <v>31.21</v>
      </c>
      <c r="H32" s="293">
        <f t="shared" si="0"/>
        <v>48500.34</v>
      </c>
      <c r="J32" s="191" t="s">
        <v>358</v>
      </c>
    </row>
    <row r="33" spans="2:11" s="7" customFormat="1" ht="51.75" customHeight="1" x14ac:dyDescent="0.2">
      <c r="B33" s="273" t="s">
        <v>424</v>
      </c>
      <c r="C33" s="417"/>
      <c r="D33" s="274" t="s">
        <v>400</v>
      </c>
      <c r="E33" s="417" t="s">
        <v>398</v>
      </c>
      <c r="F33" s="336">
        <f>E12</f>
        <v>140</v>
      </c>
      <c r="G33" s="336">
        <f>'CPU POÇOS'!I1229</f>
        <v>681.9</v>
      </c>
      <c r="H33" s="293">
        <f t="shared" si="0"/>
        <v>95466</v>
      </c>
      <c r="J33" s="176"/>
      <c r="K33" s="175"/>
    </row>
    <row r="34" spans="2:11" s="9" customFormat="1" ht="33" customHeight="1" x14ac:dyDescent="0.2">
      <c r="B34" s="273" t="s">
        <v>430</v>
      </c>
      <c r="C34" s="423"/>
      <c r="D34" s="274" t="s">
        <v>580</v>
      </c>
      <c r="E34" s="425" t="s">
        <v>398</v>
      </c>
      <c r="F34" s="293">
        <f>E12</f>
        <v>140</v>
      </c>
      <c r="G34" s="293">
        <f>'CPU POÇOS'!I1328</f>
        <v>720.49</v>
      </c>
      <c r="H34" s="293">
        <f t="shared" si="0"/>
        <v>100868.6</v>
      </c>
      <c r="J34" s="192"/>
    </row>
    <row r="35" spans="2:11" s="7" customFormat="1" ht="38.25" customHeight="1" x14ac:dyDescent="0.2">
      <c r="B35" s="273" t="s">
        <v>514</v>
      </c>
      <c r="C35" s="422"/>
      <c r="D35" s="274" t="s">
        <v>643</v>
      </c>
      <c r="E35" s="417" t="s">
        <v>398</v>
      </c>
      <c r="F35" s="336">
        <f>E12</f>
        <v>140</v>
      </c>
      <c r="G35" s="336">
        <f>'CPU POÇOS'!I1365</f>
        <v>1303.3499999999999</v>
      </c>
      <c r="H35" s="293">
        <f t="shared" si="0"/>
        <v>182469</v>
      </c>
      <c r="J35" s="176"/>
      <c r="K35" s="175"/>
    </row>
    <row r="36" spans="2:11" s="9" customFormat="1" ht="51" customHeight="1" x14ac:dyDescent="0.2">
      <c r="B36" s="273" t="s">
        <v>571</v>
      </c>
      <c r="C36" s="423"/>
      <c r="D36" s="274" t="s">
        <v>649</v>
      </c>
      <c r="E36" s="425" t="s">
        <v>398</v>
      </c>
      <c r="F36" s="293">
        <f>F24</f>
        <v>140</v>
      </c>
      <c r="G36" s="293">
        <f>'CPU POÇOS'!I1436</f>
        <v>4863.2299999999996</v>
      </c>
      <c r="H36" s="293">
        <f t="shared" si="0"/>
        <v>680852.2</v>
      </c>
      <c r="J36" s="192"/>
    </row>
    <row r="37" spans="2:11" s="428" customFormat="1" ht="51" customHeight="1" x14ac:dyDescent="0.2">
      <c r="B37" s="273" t="s">
        <v>575</v>
      </c>
      <c r="C37" s="422"/>
      <c r="D37" s="274" t="s">
        <v>529</v>
      </c>
      <c r="E37" s="417" t="s">
        <v>398</v>
      </c>
      <c r="F37" s="336">
        <f>F36</f>
        <v>140</v>
      </c>
      <c r="G37" s="336">
        <f>'CPU POÇOS'!I1469</f>
        <v>155.47999999999999</v>
      </c>
      <c r="H37" s="293">
        <f t="shared" si="0"/>
        <v>21767.200000000001</v>
      </c>
      <c r="J37" s="429"/>
      <c r="K37" s="430"/>
    </row>
    <row r="38" spans="2:11" s="9" customFormat="1" x14ac:dyDescent="0.2">
      <c r="B38" s="273" t="s">
        <v>576</v>
      </c>
      <c r="C38" s="423"/>
      <c r="D38" s="274" t="s">
        <v>593</v>
      </c>
      <c r="E38" s="417" t="s">
        <v>398</v>
      </c>
      <c r="F38" s="293">
        <f>F37</f>
        <v>140</v>
      </c>
      <c r="G38" s="293">
        <f>'CPU POÇOS'!I1512</f>
        <v>601.1</v>
      </c>
      <c r="H38" s="293">
        <f t="shared" si="0"/>
        <v>84154</v>
      </c>
      <c r="J38" s="192"/>
    </row>
    <row r="39" spans="2:11" s="9" customFormat="1" ht="27.75" customHeight="1" x14ac:dyDescent="0.2">
      <c r="B39" s="300">
        <v>3</v>
      </c>
      <c r="C39" s="301"/>
      <c r="D39" s="494" t="s">
        <v>620</v>
      </c>
      <c r="E39" s="495"/>
      <c r="F39" s="495"/>
      <c r="G39" s="505"/>
      <c r="H39" s="498">
        <f>SUM(H40:H46)</f>
        <v>35245.5</v>
      </c>
      <c r="J39" s="191"/>
      <c r="K39" s="5"/>
    </row>
    <row r="40" spans="2:11" s="9" customFormat="1" ht="31.5" x14ac:dyDescent="0.2">
      <c r="B40" s="273" t="s">
        <v>34</v>
      </c>
      <c r="C40" s="423"/>
      <c r="D40" s="297" t="s">
        <v>372</v>
      </c>
      <c r="E40" s="273" t="s">
        <v>85</v>
      </c>
      <c r="F40" s="336">
        <f>2*2*F41</f>
        <v>200</v>
      </c>
      <c r="G40" s="336">
        <f>G25</f>
        <v>1.31</v>
      </c>
      <c r="H40" s="293">
        <f t="shared" si="0"/>
        <v>262</v>
      </c>
      <c r="J40" s="192"/>
    </row>
    <row r="41" spans="2:11" s="9" customFormat="1" x14ac:dyDescent="0.2">
      <c r="B41" s="273" t="s">
        <v>35</v>
      </c>
      <c r="C41" s="423"/>
      <c r="D41" s="306" t="s">
        <v>513</v>
      </c>
      <c r="E41" s="275" t="s">
        <v>398</v>
      </c>
      <c r="F41" s="336">
        <v>50</v>
      </c>
      <c r="G41" s="336">
        <f>'CPU POÇOS'!I1543</f>
        <v>26.5</v>
      </c>
      <c r="H41" s="293">
        <f t="shared" si="0"/>
        <v>1325</v>
      </c>
      <c r="J41" s="192"/>
    </row>
    <row r="42" spans="2:11" s="9" customFormat="1" ht="47.25" x14ac:dyDescent="0.2">
      <c r="B42" s="273" t="s">
        <v>36</v>
      </c>
      <c r="C42" s="423"/>
      <c r="D42" s="274" t="s">
        <v>650</v>
      </c>
      <c r="E42" s="275" t="s">
        <v>398</v>
      </c>
      <c r="F42" s="336">
        <f>F41</f>
        <v>50</v>
      </c>
      <c r="G42" s="336">
        <f>PERFURAÇÃO!G30</f>
        <v>123.88</v>
      </c>
      <c r="H42" s="293">
        <f t="shared" si="0"/>
        <v>6194</v>
      </c>
      <c r="J42" s="192"/>
    </row>
    <row r="43" spans="2:11" s="9" customFormat="1" ht="63" x14ac:dyDescent="0.2">
      <c r="B43" s="273" t="s">
        <v>37</v>
      </c>
      <c r="C43" s="423"/>
      <c r="D43" s="274" t="s">
        <v>651</v>
      </c>
      <c r="E43" s="275" t="s">
        <v>398</v>
      </c>
      <c r="F43" s="336">
        <f>F42</f>
        <v>50</v>
      </c>
      <c r="G43" s="336">
        <f>PERFURAÇÃO!G31</f>
        <v>229.55</v>
      </c>
      <c r="H43" s="293">
        <f t="shared" si="0"/>
        <v>11477.5</v>
      </c>
      <c r="J43" s="192"/>
    </row>
    <row r="44" spans="2:11" s="9" customFormat="1" ht="31.5" x14ac:dyDescent="0.2">
      <c r="B44" s="273" t="s">
        <v>38</v>
      </c>
      <c r="C44" s="423"/>
      <c r="D44" s="304" t="s">
        <v>652</v>
      </c>
      <c r="E44" s="275" t="s">
        <v>398</v>
      </c>
      <c r="F44" s="336">
        <f>F43</f>
        <v>50</v>
      </c>
      <c r="G44" s="336">
        <f>PERFURAÇÃO!G33</f>
        <v>89.39</v>
      </c>
      <c r="H44" s="293">
        <f t="shared" si="0"/>
        <v>4469.5</v>
      </c>
      <c r="J44" s="192"/>
    </row>
    <row r="45" spans="2:11" s="9" customFormat="1" ht="31.5" x14ac:dyDescent="0.2">
      <c r="B45" s="273" t="s">
        <v>553</v>
      </c>
      <c r="C45" s="423"/>
      <c r="D45" s="297" t="s">
        <v>653</v>
      </c>
      <c r="E45" s="275" t="s">
        <v>398</v>
      </c>
      <c r="F45" s="336">
        <f>F44</f>
        <v>50</v>
      </c>
      <c r="G45" s="336">
        <f>PERFURAÇÃO!G35</f>
        <v>143.79</v>
      </c>
      <c r="H45" s="293">
        <f t="shared" si="0"/>
        <v>7189.5</v>
      </c>
      <c r="J45" s="192"/>
    </row>
    <row r="46" spans="2:11" s="9" customFormat="1" ht="31.5" x14ac:dyDescent="0.2">
      <c r="B46" s="273" t="s">
        <v>554</v>
      </c>
      <c r="C46" s="423"/>
      <c r="D46" s="304" t="s">
        <v>421</v>
      </c>
      <c r="E46" s="275" t="s">
        <v>398</v>
      </c>
      <c r="F46" s="336">
        <f>F45</f>
        <v>50</v>
      </c>
      <c r="G46" s="336">
        <f>PERFURAÇÃO!G32</f>
        <v>86.56</v>
      </c>
      <c r="H46" s="293">
        <f t="shared" si="0"/>
        <v>4328</v>
      </c>
      <c r="J46" s="192"/>
    </row>
    <row r="47" spans="2:11" s="9" customFormat="1" ht="27.75" customHeight="1" x14ac:dyDescent="0.2">
      <c r="B47" s="300">
        <v>4</v>
      </c>
      <c r="C47" s="301"/>
      <c r="D47" s="591" t="s">
        <v>654</v>
      </c>
      <c r="E47" s="592"/>
      <c r="F47" s="592"/>
      <c r="G47" s="592"/>
      <c r="H47" s="498">
        <f>SUM(H48:H60)</f>
        <v>903493.13</v>
      </c>
      <c r="J47" s="191"/>
      <c r="K47" s="5"/>
    </row>
    <row r="48" spans="2:11" s="9" customFormat="1" ht="47.25" x14ac:dyDescent="0.2">
      <c r="B48" s="273" t="s">
        <v>39</v>
      </c>
      <c r="C48" s="298"/>
      <c r="D48" s="274" t="s">
        <v>646</v>
      </c>
      <c r="E48" s="275" t="s">
        <v>27</v>
      </c>
      <c r="F48" s="293">
        <f>F12*30</f>
        <v>1500</v>
      </c>
      <c r="G48" s="293">
        <f>'CPU POÇOS'!I972</f>
        <v>24.64</v>
      </c>
      <c r="H48" s="293">
        <f t="shared" si="0"/>
        <v>36960</v>
      </c>
      <c r="J48" s="191"/>
    </row>
    <row r="49" spans="2:11" s="9" customFormat="1" ht="64.5" customHeight="1" x14ac:dyDescent="0.2">
      <c r="B49" s="273" t="s">
        <v>40</v>
      </c>
      <c r="C49" s="298"/>
      <c r="D49" s="306" t="s">
        <v>655</v>
      </c>
      <c r="E49" s="275" t="s">
        <v>398</v>
      </c>
      <c r="F49" s="293">
        <f>F12</f>
        <v>50</v>
      </c>
      <c r="G49" s="293">
        <f>'CPU POÇOS'!I1580</f>
        <v>10343.26</v>
      </c>
      <c r="H49" s="293">
        <f t="shared" si="0"/>
        <v>517163</v>
      </c>
      <c r="J49" s="193"/>
    </row>
    <row r="50" spans="2:11" s="8" customFormat="1" ht="36.75" customHeight="1" x14ac:dyDescent="0.2">
      <c r="B50" s="273" t="s">
        <v>42</v>
      </c>
      <c r="C50" s="296"/>
      <c r="D50" s="307" t="s">
        <v>362</v>
      </c>
      <c r="E50" s="273" t="s">
        <v>85</v>
      </c>
      <c r="F50" s="293">
        <f>(3.5*1.5+2*2+1*1)*F12</f>
        <v>512.5</v>
      </c>
      <c r="G50" s="293">
        <f>'CPU POÇOS'!I223</f>
        <v>1.31</v>
      </c>
      <c r="H50" s="293">
        <f t="shared" si="0"/>
        <v>671.38</v>
      </c>
      <c r="J50" s="188"/>
    </row>
    <row r="51" spans="2:11" s="9" customFormat="1" ht="49.5" customHeight="1" x14ac:dyDescent="0.2">
      <c r="B51" s="273" t="s">
        <v>44</v>
      </c>
      <c r="C51" s="298"/>
      <c r="D51" s="306" t="s">
        <v>41</v>
      </c>
      <c r="E51" s="275" t="s">
        <v>32</v>
      </c>
      <c r="F51" s="293">
        <f>F12*(1.4+1.4+1.4+1.4+0.7+0.7+0.7+0.7+3+3+1.2+1.2)*0.4*0.3</f>
        <v>100.8</v>
      </c>
      <c r="G51" s="293">
        <f>'CPU POÇOS'!I1053</f>
        <v>21.23</v>
      </c>
      <c r="H51" s="293">
        <f t="shared" si="0"/>
        <v>2139.98</v>
      </c>
      <c r="J51" s="191" t="s">
        <v>355</v>
      </c>
    </row>
    <row r="52" spans="2:11" s="9" customFormat="1" ht="24" customHeight="1" x14ac:dyDescent="0.2">
      <c r="B52" s="273" t="s">
        <v>46</v>
      </c>
      <c r="C52" s="298"/>
      <c r="D52" s="306" t="s">
        <v>43</v>
      </c>
      <c r="E52" s="275" t="s">
        <v>32</v>
      </c>
      <c r="F52" s="293">
        <f>(F26-F12*((1.4+1.4+1.4+1.4+0.7+7+0.7+0.7+3+3+1.2+1.2)*0.4*0.2)+(1.4*1.4)*0.1+(0.7*0.7)*0.5+(3*1.2)*0.1)</f>
        <v>190.64</v>
      </c>
      <c r="G52" s="293">
        <f>'CPU POÇOS'!I1083</f>
        <v>19.25</v>
      </c>
      <c r="H52" s="293">
        <f t="shared" si="0"/>
        <v>3669.82</v>
      </c>
      <c r="J52" s="191" t="s">
        <v>356</v>
      </c>
    </row>
    <row r="53" spans="2:11" s="9" customFormat="1" ht="51.75" customHeight="1" x14ac:dyDescent="0.2">
      <c r="B53" s="273" t="s">
        <v>48</v>
      </c>
      <c r="C53" s="298"/>
      <c r="D53" s="308" t="s">
        <v>45</v>
      </c>
      <c r="E53" s="275" t="s">
        <v>32</v>
      </c>
      <c r="F53" s="293">
        <f>F48*0.4*0.3</f>
        <v>180</v>
      </c>
      <c r="G53" s="293">
        <f>'CPU POÇOS'!I1053</f>
        <v>21.23</v>
      </c>
      <c r="H53" s="293">
        <f t="shared" si="0"/>
        <v>3821.4</v>
      </c>
      <c r="J53" s="191" t="s">
        <v>355</v>
      </c>
    </row>
    <row r="54" spans="2:11" s="9" customFormat="1" ht="26.25" customHeight="1" x14ac:dyDescent="0.2">
      <c r="B54" s="273" t="s">
        <v>49</v>
      </c>
      <c r="C54" s="298"/>
      <c r="D54" s="308" t="s">
        <v>47</v>
      </c>
      <c r="E54" s="275" t="s">
        <v>32</v>
      </c>
      <c r="F54" s="293">
        <f>F53</f>
        <v>180</v>
      </c>
      <c r="G54" s="293">
        <f>'CPU POÇOS'!I1083</f>
        <v>19.25</v>
      </c>
      <c r="H54" s="293">
        <f t="shared" si="0"/>
        <v>3465</v>
      </c>
      <c r="J54" s="191" t="s">
        <v>356</v>
      </c>
    </row>
    <row r="55" spans="2:11" s="9" customFormat="1" ht="34.5" customHeight="1" x14ac:dyDescent="0.2">
      <c r="B55" s="273" t="s">
        <v>50</v>
      </c>
      <c r="C55" s="298"/>
      <c r="D55" s="306" t="s">
        <v>374</v>
      </c>
      <c r="E55" s="275" t="s">
        <v>27</v>
      </c>
      <c r="F55" s="293">
        <f>F12*20</f>
        <v>1000</v>
      </c>
      <c r="G55" s="293">
        <f>'CPU POÇOS'!I1118</f>
        <v>10.63</v>
      </c>
      <c r="H55" s="293">
        <f t="shared" si="0"/>
        <v>10630</v>
      </c>
      <c r="J55" s="191" t="s">
        <v>357</v>
      </c>
    </row>
    <row r="56" spans="2:11" s="9" customFormat="1" ht="53.25" customHeight="1" x14ac:dyDescent="0.2">
      <c r="B56" s="273" t="s">
        <v>51</v>
      </c>
      <c r="C56" s="298"/>
      <c r="D56" s="424" t="s">
        <v>656</v>
      </c>
      <c r="E56" s="275" t="s">
        <v>398</v>
      </c>
      <c r="F56" s="293">
        <f>F12</f>
        <v>50</v>
      </c>
      <c r="G56" s="293">
        <f>'CPU POÇOS'!I1154</f>
        <v>3447.28</v>
      </c>
      <c r="H56" s="293">
        <f t="shared" si="0"/>
        <v>172364</v>
      </c>
      <c r="J56" s="191"/>
    </row>
    <row r="57" spans="2:11" s="9" customFormat="1" ht="51.75" customHeight="1" x14ac:dyDescent="0.2">
      <c r="B57" s="273" t="s">
        <v>52</v>
      </c>
      <c r="C57" s="423"/>
      <c r="D57" s="424" t="s">
        <v>648</v>
      </c>
      <c r="E57" s="425" t="s">
        <v>398</v>
      </c>
      <c r="F57" s="293">
        <f>F12*(3+3+3+2.1)</f>
        <v>555</v>
      </c>
      <c r="G57" s="293">
        <f>'CPU POÇOS'!I1191</f>
        <v>31.21</v>
      </c>
      <c r="H57" s="293">
        <f t="shared" si="0"/>
        <v>17321.55</v>
      </c>
      <c r="J57" s="191" t="s">
        <v>358</v>
      </c>
    </row>
    <row r="58" spans="2:11" s="7" customFormat="1" ht="51.75" customHeight="1" x14ac:dyDescent="0.2">
      <c r="B58" s="273" t="s">
        <v>53</v>
      </c>
      <c r="C58" s="417"/>
      <c r="D58" s="274" t="s">
        <v>400</v>
      </c>
      <c r="E58" s="417" t="s">
        <v>398</v>
      </c>
      <c r="F58" s="336">
        <f>F12</f>
        <v>50</v>
      </c>
      <c r="G58" s="336">
        <f>'CPU POÇOS'!I1229</f>
        <v>681.9</v>
      </c>
      <c r="H58" s="293">
        <f t="shared" si="0"/>
        <v>34095</v>
      </c>
      <c r="J58" s="176"/>
      <c r="K58" s="175"/>
    </row>
    <row r="59" spans="2:11" s="9" customFormat="1" ht="33" customHeight="1" x14ac:dyDescent="0.2">
      <c r="B59" s="273" t="s">
        <v>54</v>
      </c>
      <c r="C59" s="423"/>
      <c r="D59" s="274" t="s">
        <v>580</v>
      </c>
      <c r="E59" s="425" t="s">
        <v>398</v>
      </c>
      <c r="F59" s="293">
        <f>F12</f>
        <v>50</v>
      </c>
      <c r="G59" s="293">
        <f>'CPU POÇOS'!I1328</f>
        <v>720.49</v>
      </c>
      <c r="H59" s="293">
        <f t="shared" si="0"/>
        <v>36024.5</v>
      </c>
      <c r="J59" s="192"/>
    </row>
    <row r="60" spans="2:11" s="7" customFormat="1" ht="38.25" customHeight="1" x14ac:dyDescent="0.2">
      <c r="B60" s="273" t="s">
        <v>522</v>
      </c>
      <c r="C60" s="422"/>
      <c r="D60" s="274" t="s">
        <v>657</v>
      </c>
      <c r="E60" s="417" t="s">
        <v>398</v>
      </c>
      <c r="F60" s="336">
        <f>F12</f>
        <v>50</v>
      </c>
      <c r="G60" s="336">
        <f>'CPU POÇOS'!I1365</f>
        <v>1303.3499999999999</v>
      </c>
      <c r="H60" s="293">
        <f t="shared" si="0"/>
        <v>65167.5</v>
      </c>
      <c r="J60" s="176"/>
      <c r="K60" s="175"/>
    </row>
    <row r="61" spans="2:11" s="7" customFormat="1" ht="33" customHeight="1" x14ac:dyDescent="0.2">
      <c r="B61" s="300">
        <v>5</v>
      </c>
      <c r="C61" s="300"/>
      <c r="D61" s="591" t="s">
        <v>574</v>
      </c>
      <c r="E61" s="592"/>
      <c r="F61" s="592"/>
      <c r="G61" s="592"/>
      <c r="H61" s="498">
        <f>SUM(H62:H78)</f>
        <v>298587.38</v>
      </c>
      <c r="J61" s="176"/>
      <c r="K61" s="175"/>
    </row>
    <row r="62" spans="2:11" s="7" customFormat="1" ht="65.25" customHeight="1" x14ac:dyDescent="0.2">
      <c r="B62" s="273" t="s">
        <v>381</v>
      </c>
      <c r="C62" s="273"/>
      <c r="D62" s="274" t="s">
        <v>534</v>
      </c>
      <c r="E62" s="275" t="s">
        <v>398</v>
      </c>
      <c r="F62" s="272">
        <f>G12</f>
        <v>10</v>
      </c>
      <c r="G62" s="317">
        <f>'CPU POÇOS'!I1622</f>
        <v>5345.44</v>
      </c>
      <c r="H62" s="272">
        <f>F62*G62</f>
        <v>53454.400000000001</v>
      </c>
      <c r="J62" s="176"/>
      <c r="K62" s="175"/>
    </row>
    <row r="63" spans="2:11" s="7" customFormat="1" ht="47.25" x14ac:dyDescent="0.2">
      <c r="B63" s="273" t="s">
        <v>382</v>
      </c>
      <c r="C63" s="273"/>
      <c r="D63" s="274" t="s">
        <v>646</v>
      </c>
      <c r="E63" s="275" t="s">
        <v>27</v>
      </c>
      <c r="F63" s="272">
        <f>G12*150</f>
        <v>1500</v>
      </c>
      <c r="G63" s="317">
        <f>'CPU POÇOS'!I972</f>
        <v>24.64</v>
      </c>
      <c r="H63" s="272">
        <f>F63*G63</f>
        <v>36960</v>
      </c>
      <c r="J63" s="176"/>
      <c r="K63" s="175"/>
    </row>
    <row r="64" spans="2:11" s="7" customFormat="1" ht="148.5" customHeight="1" x14ac:dyDescent="0.2">
      <c r="B64" s="273" t="s">
        <v>383</v>
      </c>
      <c r="C64" s="273"/>
      <c r="D64" s="274" t="s">
        <v>658</v>
      </c>
      <c r="E64" s="273" t="s">
        <v>398</v>
      </c>
      <c r="F64" s="272">
        <f>G12</f>
        <v>10</v>
      </c>
      <c r="G64" s="317">
        <f>'CPU POÇOS'!I1670</f>
        <v>8485.91</v>
      </c>
      <c r="H64" s="272">
        <f>F64*G64</f>
        <v>84859.1</v>
      </c>
      <c r="J64" s="176"/>
      <c r="K64" s="175"/>
    </row>
    <row r="65" spans="2:23" s="7" customFormat="1" ht="31.5" customHeight="1" x14ac:dyDescent="0.2">
      <c r="B65" s="273" t="s">
        <v>384</v>
      </c>
      <c r="C65" s="270"/>
      <c r="D65" s="307" t="s">
        <v>498</v>
      </c>
      <c r="E65" s="273" t="s">
        <v>27</v>
      </c>
      <c r="F65" s="272">
        <f>200*G12</f>
        <v>2000</v>
      </c>
      <c r="G65" s="272">
        <f>'CPU POÇOS'!I1702</f>
        <v>1.44</v>
      </c>
      <c r="H65" s="272">
        <f>F65*G65</f>
        <v>2880</v>
      </c>
      <c r="J65" s="176"/>
      <c r="K65" s="175"/>
    </row>
    <row r="66" spans="2:23" s="7" customFormat="1" ht="47.25" x14ac:dyDescent="0.2">
      <c r="B66" s="273" t="s">
        <v>385</v>
      </c>
      <c r="C66" s="273"/>
      <c r="D66" s="274" t="s">
        <v>659</v>
      </c>
      <c r="E66" s="273" t="s">
        <v>27</v>
      </c>
      <c r="F66" s="272">
        <f>200*G12</f>
        <v>2000</v>
      </c>
      <c r="G66" s="317">
        <f>'CPU POÇOS'!I1118</f>
        <v>10.63</v>
      </c>
      <c r="H66" s="272">
        <f t="shared" ref="H66:H76" si="1">F66*G66</f>
        <v>21260</v>
      </c>
      <c r="J66" s="176"/>
      <c r="K66" s="175"/>
    </row>
    <row r="67" spans="2:23" s="7" customFormat="1" ht="62.25" customHeight="1" x14ac:dyDescent="0.2">
      <c r="B67" s="273" t="s">
        <v>386</v>
      </c>
      <c r="C67" s="273"/>
      <c r="D67" s="274" t="s">
        <v>660</v>
      </c>
      <c r="E67" s="273" t="s">
        <v>32</v>
      </c>
      <c r="F67" s="272">
        <f>(0.5*0.3)*F66</f>
        <v>300</v>
      </c>
      <c r="G67" s="317">
        <f>'CPU POÇOS'!I1053</f>
        <v>21.23</v>
      </c>
      <c r="H67" s="272">
        <f t="shared" si="1"/>
        <v>6369</v>
      </c>
      <c r="J67" s="176"/>
      <c r="K67" s="175"/>
    </row>
    <row r="68" spans="2:23" s="7" customFormat="1" ht="31.5" x14ac:dyDescent="0.2">
      <c r="B68" s="273" t="s">
        <v>387</v>
      </c>
      <c r="C68" s="273"/>
      <c r="D68" s="274" t="s">
        <v>399</v>
      </c>
      <c r="E68" s="273" t="s">
        <v>32</v>
      </c>
      <c r="F68" s="271">
        <f>F67</f>
        <v>300</v>
      </c>
      <c r="G68" s="271">
        <f>'CPU POÇOS'!I1083</f>
        <v>19.25</v>
      </c>
      <c r="H68" s="272">
        <f t="shared" si="1"/>
        <v>5775</v>
      </c>
      <c r="J68" s="176"/>
      <c r="K68" s="175"/>
    </row>
    <row r="69" spans="2:23" s="7" customFormat="1" ht="51" customHeight="1" x14ac:dyDescent="0.2">
      <c r="B69" s="273" t="s">
        <v>388</v>
      </c>
      <c r="C69" s="273"/>
      <c r="D69" s="274" t="s">
        <v>656</v>
      </c>
      <c r="E69" s="273" t="s">
        <v>398</v>
      </c>
      <c r="F69" s="271">
        <f>G12</f>
        <v>10</v>
      </c>
      <c r="G69" s="271">
        <f>'CPU POÇOS'!I1154</f>
        <v>3447.28</v>
      </c>
      <c r="H69" s="272">
        <f t="shared" si="1"/>
        <v>34472.800000000003</v>
      </c>
      <c r="J69" s="176"/>
      <c r="K69" s="175"/>
    </row>
    <row r="70" spans="2:23" s="7" customFormat="1" ht="51" customHeight="1" x14ac:dyDescent="0.2">
      <c r="B70" s="273" t="s">
        <v>389</v>
      </c>
      <c r="C70" s="273"/>
      <c r="D70" s="274" t="s">
        <v>648</v>
      </c>
      <c r="E70" s="273" t="s">
        <v>27</v>
      </c>
      <c r="F70" s="271">
        <f>G12*(10+10+10+10)</f>
        <v>400</v>
      </c>
      <c r="G70" s="271">
        <f>'CPU POÇOS'!I1191</f>
        <v>31.21</v>
      </c>
      <c r="H70" s="272">
        <f t="shared" si="1"/>
        <v>12484</v>
      </c>
      <c r="J70" s="176"/>
      <c r="K70" s="175"/>
    </row>
    <row r="71" spans="2:23" s="7" customFormat="1" ht="61.5" customHeight="1" x14ac:dyDescent="0.2">
      <c r="B71" s="273" t="s">
        <v>390</v>
      </c>
      <c r="C71" s="417"/>
      <c r="D71" s="274" t="s">
        <v>400</v>
      </c>
      <c r="E71" s="417" t="s">
        <v>398</v>
      </c>
      <c r="F71" s="336">
        <f>G12</f>
        <v>10</v>
      </c>
      <c r="G71" s="336">
        <f>'CPU POÇOS'!I1229</f>
        <v>681.9</v>
      </c>
      <c r="H71" s="293">
        <f>F71*G71</f>
        <v>6819</v>
      </c>
      <c r="J71" s="176"/>
      <c r="K71" s="175"/>
    </row>
    <row r="72" spans="2:23" s="7" customFormat="1" ht="49.5" customHeight="1" x14ac:dyDescent="0.2">
      <c r="B72" s="273" t="s">
        <v>391</v>
      </c>
      <c r="C72" s="273"/>
      <c r="D72" s="274" t="s">
        <v>642</v>
      </c>
      <c r="E72" s="273" t="s">
        <v>32</v>
      </c>
      <c r="F72" s="271">
        <f>G12*0.4*0.3*((1.4+1.4+1.4+1.4+0.7+0.7+0.7+0.7+3+3+1.2+1.2))</f>
        <v>20.16</v>
      </c>
      <c r="G72" s="317">
        <f>'CPU POÇOS'!I1053</f>
        <v>21.23</v>
      </c>
      <c r="H72" s="272">
        <f>F72*G72</f>
        <v>428</v>
      </c>
      <c r="J72" s="176"/>
      <c r="K72" s="175"/>
    </row>
    <row r="73" spans="2:23" s="7" customFormat="1" ht="31.5" x14ac:dyDescent="0.2">
      <c r="B73" s="273" t="s">
        <v>392</v>
      </c>
      <c r="C73" s="273"/>
      <c r="D73" s="274" t="s">
        <v>401</v>
      </c>
      <c r="E73" s="273" t="s">
        <v>32</v>
      </c>
      <c r="F73" s="271">
        <f>G12*0.4*0.3*(1.4+1.4+1.4+1.4+0.7+0.7+0.7+0.7+3+3+1.2+1.2)-(0*0.2*0.4*(1.4+1.4+1.4+1.4+0.7+0.7+0.7+0.7+3+3+1.2+1.2))</f>
        <v>20.16</v>
      </c>
      <c r="G73" s="271">
        <f>'CPU POÇOS'!I1083</f>
        <v>19.25</v>
      </c>
      <c r="H73" s="272">
        <f>F73*G73</f>
        <v>388.08</v>
      </c>
      <c r="J73" s="176"/>
      <c r="K73" s="175"/>
    </row>
    <row r="74" spans="2:23" s="7" customFormat="1" ht="31.5" x14ac:dyDescent="0.2">
      <c r="B74" s="273" t="s">
        <v>393</v>
      </c>
      <c r="C74" s="273"/>
      <c r="D74" s="274" t="s">
        <v>580</v>
      </c>
      <c r="E74" s="273" t="s">
        <v>398</v>
      </c>
      <c r="F74" s="271">
        <f>G12</f>
        <v>10</v>
      </c>
      <c r="G74" s="271">
        <f>'CPU POÇOS'!I1328</f>
        <v>720.49</v>
      </c>
      <c r="H74" s="272">
        <f t="shared" si="1"/>
        <v>7204.9</v>
      </c>
      <c r="J74" s="176"/>
      <c r="K74" s="175"/>
    </row>
    <row r="75" spans="2:23" s="7" customFormat="1" ht="38.25" customHeight="1" x14ac:dyDescent="0.2">
      <c r="B75" s="273" t="s">
        <v>394</v>
      </c>
      <c r="C75" s="417"/>
      <c r="D75" s="274" t="s">
        <v>643</v>
      </c>
      <c r="E75" s="417" t="s">
        <v>398</v>
      </c>
      <c r="F75" s="336">
        <f>G12</f>
        <v>10</v>
      </c>
      <c r="G75" s="336">
        <f>'CPU POÇOS'!I1365</f>
        <v>1303.3499999999999</v>
      </c>
      <c r="H75" s="293">
        <f>F75*G75</f>
        <v>13033.5</v>
      </c>
      <c r="J75" s="176"/>
      <c r="K75" s="175"/>
    </row>
    <row r="76" spans="2:23" s="7" customFormat="1" ht="31.5" x14ac:dyDescent="0.2">
      <c r="B76" s="273" t="s">
        <v>395</v>
      </c>
      <c r="C76" s="273"/>
      <c r="D76" s="274" t="s">
        <v>587</v>
      </c>
      <c r="E76" s="273" t="s">
        <v>398</v>
      </c>
      <c r="F76" s="271">
        <f>G12</f>
        <v>10</v>
      </c>
      <c r="G76" s="271">
        <f>'CPU POÇOS'!I1512</f>
        <v>601.1</v>
      </c>
      <c r="H76" s="272">
        <f t="shared" si="1"/>
        <v>6011</v>
      </c>
      <c r="J76" s="176"/>
      <c r="K76" s="175"/>
    </row>
    <row r="77" spans="2:23" s="428" customFormat="1" ht="54.75" customHeight="1" x14ac:dyDescent="0.2">
      <c r="B77" s="273" t="s">
        <v>396</v>
      </c>
      <c r="C77" s="417"/>
      <c r="D77" s="274" t="s">
        <v>529</v>
      </c>
      <c r="E77" s="417" t="s">
        <v>398</v>
      </c>
      <c r="F77" s="336">
        <f>G12</f>
        <v>10</v>
      </c>
      <c r="G77" s="336">
        <f>'CPU POÇOS'!I1469</f>
        <v>155.47999999999999</v>
      </c>
      <c r="H77" s="293">
        <f>F77*G77</f>
        <v>1554.8</v>
      </c>
      <c r="J77" s="429"/>
      <c r="K77" s="430"/>
    </row>
    <row r="78" spans="2:23" s="7" customFormat="1" ht="54" customHeight="1" x14ac:dyDescent="0.2">
      <c r="B78" s="273" t="s">
        <v>397</v>
      </c>
      <c r="C78" s="273"/>
      <c r="D78" s="274" t="s">
        <v>644</v>
      </c>
      <c r="E78" s="273" t="s">
        <v>398</v>
      </c>
      <c r="F78" s="271">
        <f>G12</f>
        <v>10</v>
      </c>
      <c r="G78" s="336">
        <f>'CPU POÇOS'!I1735</f>
        <v>463.38</v>
      </c>
      <c r="H78" s="272">
        <f>F78*G78</f>
        <v>4633.8</v>
      </c>
      <c r="J78" s="176"/>
      <c r="K78" s="175"/>
    </row>
    <row r="79" spans="2:23" ht="12.75" customHeight="1" x14ac:dyDescent="0.25">
      <c r="I79" s="11"/>
      <c r="J79" s="195"/>
      <c r="K79" s="121"/>
      <c r="L79" s="15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2:23" ht="12.75" customHeight="1" x14ac:dyDescent="0.25">
      <c r="I80" s="11"/>
      <c r="J80" s="195"/>
      <c r="K80" s="14"/>
      <c r="L80" s="16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8:23" ht="15.75" customHeight="1" x14ac:dyDescent="0.25">
      <c r="I81" s="11"/>
      <c r="J81" s="196"/>
      <c r="K81" s="121"/>
      <c r="L81" s="15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8:23" ht="15" customHeight="1" x14ac:dyDescent="0.25">
      <c r="H82" s="18"/>
      <c r="I82" s="11"/>
      <c r="J82" s="196"/>
      <c r="K82" s="19"/>
      <c r="L82" s="1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8:23" ht="19.5" customHeight="1" x14ac:dyDescent="0.25">
      <c r="I83" s="11"/>
      <c r="J83" s="196"/>
      <c r="K83" s="19"/>
      <c r="L83" s="20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8:23" ht="12.75" customHeight="1" x14ac:dyDescent="0.25">
      <c r="I84" s="11"/>
      <c r="J84" s="191"/>
      <c r="K84" s="17"/>
      <c r="L84" s="21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8:23" ht="12.75" customHeight="1" x14ac:dyDescent="0.25">
      <c r="I85" s="11"/>
      <c r="J85" s="197"/>
      <c r="K85" s="22"/>
      <c r="L85" s="23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8:23" ht="12.75" customHeight="1" x14ac:dyDescent="0.25">
      <c r="I86" s="11"/>
      <c r="J86" s="198"/>
      <c r="K86" s="17"/>
      <c r="L86" s="25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8:23" ht="12.75" customHeight="1" x14ac:dyDescent="0.25">
      <c r="I87" s="11"/>
      <c r="J87" s="191"/>
      <c r="K87" s="19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8:23" ht="12.75" customHeight="1" x14ac:dyDescent="0.25">
      <c r="I88" s="11"/>
      <c r="J88" s="198"/>
      <c r="K88" s="22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8:23" ht="12.75" customHeight="1" x14ac:dyDescent="0.25">
      <c r="I89" s="11"/>
      <c r="J89" s="195"/>
      <c r="K89" s="19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8:23" ht="12.75" customHeight="1" x14ac:dyDescent="0.25">
      <c r="I90" s="11"/>
      <c r="J90" s="198"/>
      <c r="K90" s="19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8:23" ht="12.75" customHeight="1" x14ac:dyDescent="0.25">
      <c r="I91" s="11"/>
      <c r="J91" s="198"/>
      <c r="K91" s="17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8:23" ht="12.75" customHeight="1" x14ac:dyDescent="0.25">
      <c r="I92" s="11"/>
      <c r="J92" s="191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8:23" ht="12.75" customHeight="1" x14ac:dyDescent="0.25">
      <c r="I93" s="11"/>
      <c r="J93" s="191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8:23" ht="12.75" customHeight="1" x14ac:dyDescent="0.25">
      <c r="I94" s="11"/>
      <c r="J94" s="191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8:23" ht="12.75" customHeight="1" x14ac:dyDescent="0.25">
      <c r="I95" s="11"/>
      <c r="J95" s="198"/>
      <c r="K95" s="26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8:23" ht="12.75" customHeight="1" x14ac:dyDescent="0.25">
      <c r="I96" s="11"/>
      <c r="J96" s="191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 x14ac:dyDescent="0.25">
      <c r="I97" s="11"/>
      <c r="J97" s="191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 x14ac:dyDescent="0.25">
      <c r="I98" s="11"/>
      <c r="J98" s="191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 x14ac:dyDescent="0.25">
      <c r="I99" s="11"/>
      <c r="J99" s="191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 x14ac:dyDescent="0.25">
      <c r="I100" s="14"/>
      <c r="J100" s="191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 x14ac:dyDescent="0.25">
      <c r="I101" s="14"/>
      <c r="J101" s="191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 x14ac:dyDescent="0.25">
      <c r="I102" s="14"/>
      <c r="J102" s="191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 x14ac:dyDescent="0.25">
      <c r="I103" s="580"/>
      <c r="J103" s="580"/>
      <c r="K103" s="580"/>
      <c r="L103" s="580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 x14ac:dyDescent="0.25">
      <c r="I104" s="14"/>
      <c r="J104" s="191"/>
      <c r="K104" s="14"/>
      <c r="L104" s="15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 x14ac:dyDescent="0.25">
      <c r="I105" s="10"/>
      <c r="J105" s="191"/>
      <c r="K105" s="14"/>
      <c r="L105" s="15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 x14ac:dyDescent="0.25">
      <c r="I106" s="11"/>
      <c r="J106" s="199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 x14ac:dyDescent="0.25">
      <c r="I107" s="11"/>
      <c r="J107" s="191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 x14ac:dyDescent="0.25">
      <c r="I108" s="11"/>
      <c r="J108" s="195"/>
      <c r="K108" s="14"/>
      <c r="L108" s="15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 x14ac:dyDescent="0.25">
      <c r="I109" s="11"/>
      <c r="J109" s="195"/>
      <c r="K109" s="14"/>
      <c r="L109" s="15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 x14ac:dyDescent="0.25">
      <c r="I110" s="11"/>
      <c r="J110" s="195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 x14ac:dyDescent="0.25">
      <c r="I111" s="11"/>
      <c r="J111" s="195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 x14ac:dyDescent="0.25">
      <c r="I112" s="11"/>
      <c r="J112" s="195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 x14ac:dyDescent="0.25">
      <c r="I113" s="11"/>
      <c r="J113" s="195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 x14ac:dyDescent="0.25">
      <c r="I114" s="11"/>
      <c r="J114" s="191"/>
      <c r="K114" s="14"/>
      <c r="L114" s="15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 x14ac:dyDescent="0.25">
      <c r="I115" s="11"/>
      <c r="J115" s="200"/>
      <c r="K115" s="14"/>
      <c r="L115" s="15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 x14ac:dyDescent="0.25">
      <c r="I116" s="11"/>
      <c r="J116" s="191"/>
      <c r="K116" s="14"/>
      <c r="L116" s="27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 x14ac:dyDescent="0.25">
      <c r="I117" s="11"/>
      <c r="J117" s="195"/>
      <c r="K117" s="14"/>
      <c r="L117" s="15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 x14ac:dyDescent="0.25">
      <c r="I118" s="11"/>
      <c r="J118" s="195"/>
      <c r="K118" s="14"/>
      <c r="L118" s="1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 x14ac:dyDescent="0.25">
      <c r="I119" s="11"/>
      <c r="J119" s="200"/>
      <c r="K119" s="14"/>
      <c r="L119" s="15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 x14ac:dyDescent="0.25">
      <c r="I120" s="11"/>
      <c r="J120" s="195"/>
      <c r="K120" s="14"/>
      <c r="L120" s="28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 x14ac:dyDescent="0.25">
      <c r="I121" s="11"/>
      <c r="J121" s="195"/>
      <c r="K121" s="14"/>
      <c r="L121" s="28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 x14ac:dyDescent="0.25">
      <c r="I122" s="11"/>
      <c r="J122" s="195"/>
      <c r="K122" s="24"/>
      <c r="L122" s="28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 x14ac:dyDescent="0.25">
      <c r="I123" s="11"/>
      <c r="J123" s="200"/>
      <c r="K123" s="24"/>
      <c r="L123" s="28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 x14ac:dyDescent="0.25">
      <c r="I124" s="11"/>
      <c r="J124" s="191"/>
      <c r="K124" s="24"/>
      <c r="L124" s="28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 x14ac:dyDescent="0.25">
      <c r="I125" s="11"/>
      <c r="J125" s="191"/>
      <c r="K125" s="24"/>
      <c r="L125" s="28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 x14ac:dyDescent="0.25">
      <c r="I126" s="11"/>
      <c r="J126" s="200"/>
      <c r="K126" s="24"/>
      <c r="L126" s="28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 x14ac:dyDescent="0.25">
      <c r="I127" s="11"/>
      <c r="J127" s="200"/>
      <c r="K127" s="24"/>
      <c r="L127" s="28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 x14ac:dyDescent="0.25">
      <c r="I128" s="11"/>
      <c r="J128" s="191"/>
      <c r="K128" s="24"/>
      <c r="L128" s="2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 x14ac:dyDescent="0.25">
      <c r="I129" s="11"/>
      <c r="J129" s="191"/>
      <c r="K129" s="2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 x14ac:dyDescent="0.25">
      <c r="I130" s="11"/>
      <c r="J130" s="200"/>
      <c r="K130" s="24"/>
      <c r="L130" s="28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 x14ac:dyDescent="0.25">
      <c r="I131" s="11"/>
      <c r="J131" s="200"/>
      <c r="K131" s="24"/>
      <c r="L131" s="28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 x14ac:dyDescent="0.25">
      <c r="I132" s="11"/>
      <c r="J132" s="191"/>
      <c r="K132" s="24"/>
      <c r="L132" s="28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 x14ac:dyDescent="0.25">
      <c r="I133" s="11"/>
      <c r="J133" s="191"/>
      <c r="K133" s="14"/>
      <c r="L133" s="29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 x14ac:dyDescent="0.25">
      <c r="I134" s="11"/>
      <c r="J134" s="191"/>
      <c r="K134" s="14"/>
      <c r="L134" s="28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 x14ac:dyDescent="0.25">
      <c r="I135" s="11"/>
      <c r="J135" s="191"/>
      <c r="K135" s="24"/>
      <c r="L135" s="30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 x14ac:dyDescent="0.25">
      <c r="I136" s="11"/>
      <c r="J136" s="191"/>
      <c r="K136" s="14"/>
      <c r="L136" s="28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 x14ac:dyDescent="0.25">
      <c r="I137" s="11"/>
      <c r="J137" s="191"/>
      <c r="K137" s="14"/>
      <c r="L137" s="31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 x14ac:dyDescent="0.25">
      <c r="I138" s="11"/>
      <c r="J138" s="191"/>
      <c r="K138" s="14"/>
      <c r="L138" s="13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 x14ac:dyDescent="0.25">
      <c r="I139" s="11"/>
      <c r="J139" s="191"/>
      <c r="K139" s="14"/>
      <c r="L139" s="15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 x14ac:dyDescent="0.25">
      <c r="I140" s="11"/>
      <c r="J140" s="191"/>
      <c r="K140" s="14"/>
      <c r="L140" s="16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 x14ac:dyDescent="0.25">
      <c r="I141" s="11"/>
      <c r="J141" s="191"/>
      <c r="K141" s="14"/>
      <c r="L141" s="20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 x14ac:dyDescent="0.25">
      <c r="I142" s="11"/>
      <c r="J142" s="191"/>
      <c r="K142" s="14"/>
      <c r="L142" s="21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 x14ac:dyDescent="0.25">
      <c r="I143" s="11"/>
      <c r="J143" s="200"/>
      <c r="K143" s="14"/>
      <c r="L143" s="25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 x14ac:dyDescent="0.25">
      <c r="I144" s="11"/>
      <c r="J144" s="191"/>
      <c r="K144" s="14"/>
      <c r="L144" s="32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 x14ac:dyDescent="0.25">
      <c r="I145" s="11"/>
      <c r="J145" s="191"/>
      <c r="K145" s="14"/>
      <c r="L145" s="15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 x14ac:dyDescent="0.25">
      <c r="I146" s="12"/>
      <c r="J146" s="191"/>
      <c r="K146" s="14"/>
      <c r="L146" s="15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 x14ac:dyDescent="0.25">
      <c r="I147" s="12"/>
      <c r="J147" s="191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 x14ac:dyDescent="0.25">
      <c r="I148" s="11"/>
      <c r="J148" s="191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 x14ac:dyDescent="0.25">
      <c r="I149" s="11"/>
      <c r="J149" s="191"/>
      <c r="K149" s="14"/>
      <c r="L149" s="28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 x14ac:dyDescent="0.25">
      <c r="I150" s="11"/>
      <c r="J150" s="191"/>
      <c r="K150" s="14"/>
      <c r="L150" s="28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 x14ac:dyDescent="0.25">
      <c r="I151" s="11"/>
      <c r="J151" s="191"/>
      <c r="K151" s="24"/>
      <c r="L151" s="29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 x14ac:dyDescent="0.25">
      <c r="I152" s="11"/>
      <c r="J152" s="195"/>
      <c r="K152" s="24"/>
      <c r="L152" s="29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 x14ac:dyDescent="0.25">
      <c r="I153" s="11"/>
      <c r="J153" s="194"/>
      <c r="K153" s="24"/>
      <c r="L153" s="29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 x14ac:dyDescent="0.25">
      <c r="I154" s="11"/>
      <c r="J154" s="194"/>
      <c r="K154" s="24"/>
      <c r="L154" s="29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 x14ac:dyDescent="0.25">
      <c r="I155" s="11"/>
      <c r="J155" s="194"/>
      <c r="K155" s="24"/>
      <c r="L155" s="29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 x14ac:dyDescent="0.25">
      <c r="I156" s="11"/>
      <c r="J156" s="194"/>
      <c r="K156" s="24"/>
      <c r="L156" s="29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 x14ac:dyDescent="0.25">
      <c r="I157" s="11"/>
      <c r="J157" s="191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 x14ac:dyDescent="0.25">
      <c r="I158" s="11"/>
      <c r="J158" s="198"/>
      <c r="K158" s="17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 x14ac:dyDescent="0.25">
      <c r="I159" s="11"/>
      <c r="J159" s="198"/>
      <c r="K159" s="15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 x14ac:dyDescent="0.25">
      <c r="I160" s="27"/>
      <c r="J160" s="198"/>
      <c r="K160" s="15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 x14ac:dyDescent="0.25">
      <c r="I161" s="11"/>
      <c r="J161" s="198"/>
      <c r="K161" s="15"/>
      <c r="L161" s="28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 x14ac:dyDescent="0.25">
      <c r="I162" s="11"/>
      <c r="J162" s="200"/>
      <c r="K162" s="15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 x14ac:dyDescent="0.25">
      <c r="I163" s="11"/>
      <c r="J163" s="198"/>
      <c r="K163" s="17"/>
      <c r="L163" s="28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 x14ac:dyDescent="0.25">
      <c r="I164" s="11"/>
      <c r="J164" s="198"/>
      <c r="K164" s="17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 x14ac:dyDescent="0.25">
      <c r="I165" s="11"/>
      <c r="J165" s="191"/>
      <c r="K165" s="14"/>
      <c r="L165" s="28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 x14ac:dyDescent="0.25">
      <c r="I166" s="11"/>
      <c r="J166" s="191"/>
      <c r="K166" s="14"/>
      <c r="L166" s="28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 x14ac:dyDescent="0.25">
      <c r="I167" s="580"/>
      <c r="J167" s="580"/>
      <c r="K167" s="580"/>
      <c r="L167" s="580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 x14ac:dyDescent="0.25">
      <c r="I168" s="14"/>
      <c r="J168" s="191"/>
      <c r="K168" s="14"/>
      <c r="L168" s="15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 x14ac:dyDescent="0.25">
      <c r="I169" s="10"/>
      <c r="J169" s="191"/>
      <c r="K169" s="14"/>
      <c r="L169" s="15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 x14ac:dyDescent="0.25">
      <c r="I170" s="11"/>
      <c r="J170" s="199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 x14ac:dyDescent="0.25">
      <c r="I171" s="11"/>
      <c r="J171" s="191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 x14ac:dyDescent="0.25">
      <c r="I172" s="11"/>
      <c r="J172" s="195"/>
      <c r="K172" s="14"/>
      <c r="L172" s="15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 x14ac:dyDescent="0.25">
      <c r="I173" s="11"/>
      <c r="J173" s="195"/>
      <c r="K173" s="14"/>
      <c r="L173" s="15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 x14ac:dyDescent="0.25">
      <c r="I174" s="11"/>
      <c r="J174" s="195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 x14ac:dyDescent="0.25">
      <c r="I175" s="11"/>
      <c r="J175" s="195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 x14ac:dyDescent="0.25">
      <c r="I176" s="11"/>
      <c r="J176" s="195"/>
      <c r="K176" s="14"/>
      <c r="L176" s="28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 x14ac:dyDescent="0.25">
      <c r="I177" s="11"/>
      <c r="J177" s="195"/>
      <c r="K177" s="24"/>
      <c r="L177" s="28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 x14ac:dyDescent="0.25">
      <c r="I178" s="11"/>
      <c r="J178" s="195"/>
      <c r="K178" s="2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 x14ac:dyDescent="0.25">
      <c r="I179" s="11"/>
      <c r="J179" s="195"/>
      <c r="K179" s="24"/>
      <c r="L179" s="28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 x14ac:dyDescent="0.25">
      <c r="I180" s="11"/>
      <c r="J180" s="195"/>
      <c r="K180" s="24"/>
      <c r="L180" s="28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 x14ac:dyDescent="0.25">
      <c r="I181" s="11"/>
      <c r="J181" s="195"/>
      <c r="K181" s="24"/>
      <c r="L181" s="28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 x14ac:dyDescent="0.25">
      <c r="I182" s="11"/>
      <c r="J182" s="195"/>
      <c r="K182" s="14"/>
      <c r="L182" s="29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 x14ac:dyDescent="0.25">
      <c r="I183" s="11"/>
      <c r="J183" s="195"/>
      <c r="K183" s="14"/>
      <c r="L183" s="28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 x14ac:dyDescent="0.25">
      <c r="I184" s="11"/>
      <c r="J184" s="191"/>
      <c r="K184" s="24"/>
      <c r="L184" s="30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 x14ac:dyDescent="0.25">
      <c r="I185" s="11"/>
      <c r="J185" s="200"/>
      <c r="K185" s="14"/>
      <c r="L185" s="28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9:23" ht="12.75" customHeight="1" x14ac:dyDescent="0.25">
      <c r="I186" s="11"/>
      <c r="J186" s="191"/>
      <c r="K186" s="14"/>
      <c r="L186" s="31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9:23" ht="12.75" customHeight="1" x14ac:dyDescent="0.25">
      <c r="I187" s="11"/>
      <c r="J187" s="195"/>
      <c r="K187" s="14"/>
      <c r="L187" s="13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9:23" ht="12.75" customHeight="1" x14ac:dyDescent="0.25">
      <c r="I188" s="11"/>
      <c r="J188" s="195"/>
      <c r="K188" s="14"/>
      <c r="L188" s="15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9:23" ht="12.75" customHeight="1" x14ac:dyDescent="0.25">
      <c r="I189" s="11"/>
      <c r="J189" s="200"/>
      <c r="K189" s="14"/>
      <c r="L189" s="16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9:23" ht="12.75" customHeight="1" x14ac:dyDescent="0.25">
      <c r="I190" s="11"/>
      <c r="J190" s="195"/>
      <c r="K190" s="14"/>
      <c r="L190" s="20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9:23" ht="12.75" customHeight="1" x14ac:dyDescent="0.25">
      <c r="I191" s="11"/>
      <c r="J191" s="195"/>
      <c r="K191" s="14"/>
      <c r="L191" s="21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9:23" ht="12.75" customHeight="1" x14ac:dyDescent="0.25">
      <c r="I192" s="11"/>
      <c r="J192" s="191"/>
      <c r="K192" s="14"/>
      <c r="L192" s="25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9:23" ht="12.75" customHeight="1" x14ac:dyDescent="0.25">
      <c r="I193" s="11"/>
      <c r="J193" s="191"/>
      <c r="K193" s="14"/>
      <c r="L193" s="32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9:23" ht="12.75" customHeight="1" x14ac:dyDescent="0.25">
      <c r="I194" s="11"/>
      <c r="J194" s="191"/>
      <c r="K194" s="14"/>
      <c r="L194" s="15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9:23" ht="12.75" customHeight="1" x14ac:dyDescent="0.25">
      <c r="I195" s="11"/>
      <c r="J195" s="191"/>
      <c r="K195" s="14"/>
      <c r="L195" s="15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9:23" ht="12.75" customHeight="1" x14ac:dyDescent="0.25">
      <c r="I196" s="11"/>
      <c r="J196" s="191"/>
      <c r="K196" s="14"/>
      <c r="L196" s="15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9:23" ht="12.75" customHeight="1" x14ac:dyDescent="0.25">
      <c r="I197" s="11"/>
      <c r="J197" s="191"/>
      <c r="K197" s="14"/>
      <c r="L197" s="15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9:23" ht="12.75" customHeight="1" x14ac:dyDescent="0.25">
      <c r="I198" s="11"/>
      <c r="J198" s="191"/>
      <c r="K198" s="14"/>
      <c r="L198" s="28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9:23" ht="12.75" customHeight="1" x14ac:dyDescent="0.25">
      <c r="I199" s="11"/>
      <c r="J199" s="191"/>
      <c r="K199" s="14"/>
      <c r="L199" s="28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9:23" ht="12.75" customHeight="1" x14ac:dyDescent="0.25">
      <c r="I200" s="11"/>
      <c r="J200" s="191"/>
      <c r="K200" s="24"/>
      <c r="L200" s="29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9:23" ht="12.75" customHeight="1" x14ac:dyDescent="0.25">
      <c r="I201" s="11"/>
      <c r="J201" s="191"/>
      <c r="K201" s="24"/>
      <c r="L201" s="29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9:23" ht="12.75" customHeight="1" x14ac:dyDescent="0.25">
      <c r="I202" s="11"/>
      <c r="J202" s="200"/>
      <c r="K202" s="17"/>
      <c r="L202" s="29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9:23" ht="12.75" customHeight="1" x14ac:dyDescent="0.25">
      <c r="I203" s="11"/>
      <c r="J203" s="191"/>
      <c r="K203" s="24"/>
      <c r="L203" s="29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9:23" ht="12.75" customHeight="1" x14ac:dyDescent="0.25">
      <c r="I204" s="11"/>
      <c r="J204" s="191"/>
      <c r="K204" s="24"/>
      <c r="L204" s="29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9:23" ht="12.75" customHeight="1" x14ac:dyDescent="0.25">
      <c r="I205" s="12"/>
      <c r="J205" s="191"/>
      <c r="K205" s="24"/>
      <c r="L205" s="29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9:23" ht="12.75" customHeight="1" x14ac:dyDescent="0.25"/>
    <row r="207" spans="9:23" ht="12.75" customHeight="1" x14ac:dyDescent="0.25"/>
    <row r="208" spans="9:23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5" customHeight="1" x14ac:dyDescent="0.25"/>
    <row r="263" ht="12.75" customHeight="1" x14ac:dyDescent="0.25"/>
    <row r="307" ht="16.5" customHeight="1" x14ac:dyDescent="0.25"/>
  </sheetData>
  <mergeCells count="21">
    <mergeCell ref="I167:L167"/>
    <mergeCell ref="D16:G16"/>
    <mergeCell ref="I103:L103"/>
    <mergeCell ref="D22:G22"/>
    <mergeCell ref="D61:G61"/>
    <mergeCell ref="D47:G47"/>
    <mergeCell ref="B6:C7"/>
    <mergeCell ref="B8:C9"/>
    <mergeCell ref="B10:C12"/>
    <mergeCell ref="B2:H5"/>
    <mergeCell ref="D6:H7"/>
    <mergeCell ref="D8:H9"/>
    <mergeCell ref="H11:H12"/>
    <mergeCell ref="E10:G10"/>
    <mergeCell ref="D10:D12"/>
    <mergeCell ref="B13:H13"/>
    <mergeCell ref="B14:B15"/>
    <mergeCell ref="D14:D15"/>
    <mergeCell ref="E14:E15"/>
    <mergeCell ref="F14:F15"/>
    <mergeCell ref="G14:H14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1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35"/>
  <sheetViews>
    <sheetView view="pageBreakPreview" zoomScaleNormal="130" zoomScaleSheetLayoutView="100" workbookViewId="0"/>
  </sheetViews>
  <sheetFormatPr defaultRowHeight="12.75" x14ac:dyDescent="0.2"/>
  <cols>
    <col min="1" max="1" width="3.85546875" style="33" customWidth="1"/>
    <col min="2" max="2" width="52.140625" style="33" customWidth="1"/>
    <col min="3" max="3" width="11.140625" style="131" customWidth="1"/>
    <col min="4" max="4" width="11.28515625" style="131" customWidth="1"/>
    <col min="5" max="5" width="9" style="33" customWidth="1"/>
    <col min="6" max="6" width="9.28515625" style="33" customWidth="1"/>
    <col min="7" max="7" width="10.85546875" style="33" customWidth="1"/>
    <col min="8" max="8" width="9.42578125" style="33" customWidth="1"/>
    <col min="9" max="9" width="12" style="131" customWidth="1"/>
    <col min="10" max="10" width="7.140625" style="33" customWidth="1"/>
    <col min="11" max="11" width="9.140625" style="33"/>
    <col min="12" max="12" width="9.42578125" style="33" bestFit="1" customWidth="1"/>
    <col min="13" max="16384" width="9.140625" style="33"/>
  </cols>
  <sheetData>
    <row r="2" spans="2:10" s="128" customFormat="1" ht="30" customHeight="1" x14ac:dyDescent="0.2">
      <c r="B2" s="487" t="s">
        <v>55</v>
      </c>
      <c r="C2" s="488" t="str">
        <f>INSTALAÇÃO!B17</f>
        <v>1.1</v>
      </c>
      <c r="D2" s="665" t="s">
        <v>56</v>
      </c>
      <c r="E2" s="665"/>
      <c r="F2" s="665"/>
      <c r="G2" s="665"/>
      <c r="H2" s="665"/>
      <c r="I2" s="665"/>
    </row>
    <row r="3" spans="2:10" s="128" customFormat="1" ht="30" customHeight="1" x14ac:dyDescent="0.2">
      <c r="B3" s="666" t="s">
        <v>344</v>
      </c>
      <c r="C3" s="667"/>
      <c r="D3" s="667"/>
      <c r="E3" s="667"/>
      <c r="F3" s="667"/>
      <c r="G3" s="668"/>
      <c r="H3" s="669" t="s">
        <v>568</v>
      </c>
      <c r="I3" s="670"/>
    </row>
    <row r="4" spans="2:10" s="128" customFormat="1" ht="30" customHeight="1" x14ac:dyDescent="0.2">
      <c r="B4" s="664" t="s">
        <v>345</v>
      </c>
      <c r="C4" s="664"/>
      <c r="D4" s="664"/>
      <c r="E4" s="664"/>
      <c r="F4" s="664"/>
      <c r="G4" s="664"/>
      <c r="H4" s="34" t="s">
        <v>57</v>
      </c>
      <c r="I4" s="127" t="s">
        <v>398</v>
      </c>
    </row>
    <row r="5" spans="2:10" s="128" customFormat="1" ht="30" customHeight="1" x14ac:dyDescent="0.2">
      <c r="B5" s="674" t="s">
        <v>58</v>
      </c>
      <c r="C5" s="674"/>
      <c r="D5" s="674"/>
      <c r="E5" s="674"/>
      <c r="F5" s="674"/>
      <c r="G5" s="674"/>
      <c r="H5" s="674"/>
      <c r="I5" s="674"/>
    </row>
    <row r="6" spans="2:10" ht="25.5" x14ac:dyDescent="0.2">
      <c r="B6" s="35" t="s">
        <v>59</v>
      </c>
      <c r="C6" s="36" t="s">
        <v>60</v>
      </c>
      <c r="D6" s="36" t="s">
        <v>6</v>
      </c>
      <c r="E6" s="36" t="s">
        <v>61</v>
      </c>
      <c r="F6" s="36" t="s">
        <v>62</v>
      </c>
      <c r="G6" s="36" t="s">
        <v>63</v>
      </c>
      <c r="H6" s="36" t="s">
        <v>64</v>
      </c>
      <c r="I6" s="37" t="s">
        <v>65</v>
      </c>
    </row>
    <row r="7" spans="2:10" ht="21" customHeight="1" x14ac:dyDescent="0.2">
      <c r="B7" s="38" t="s">
        <v>66</v>
      </c>
      <c r="C7" s="88" t="s">
        <v>67</v>
      </c>
      <c r="D7" s="88">
        <v>9</v>
      </c>
      <c r="E7" s="47">
        <v>1</v>
      </c>
      <c r="F7" s="47"/>
      <c r="G7" s="56">
        <f>INSUMOS!E98</f>
        <v>43.27</v>
      </c>
      <c r="H7" s="47"/>
      <c r="I7" s="87">
        <f>D7*E7*G7+D7*F7*H7</f>
        <v>389.43</v>
      </c>
    </row>
    <row r="8" spans="2:10" ht="18.75" customHeight="1" x14ac:dyDescent="0.2">
      <c r="B8" s="38" t="s">
        <v>68</v>
      </c>
      <c r="C8" s="88" t="s">
        <v>67</v>
      </c>
      <c r="D8" s="88">
        <v>9</v>
      </c>
      <c r="E8" s="47">
        <v>1</v>
      </c>
      <c r="F8" s="47"/>
      <c r="G8" s="56">
        <f>INSUMOS!E87</f>
        <v>8.27</v>
      </c>
      <c r="H8" s="47"/>
      <c r="I8" s="87">
        <f>D8*E8*G8+D8*F8*H8</f>
        <v>74.430000000000007</v>
      </c>
    </row>
    <row r="9" spans="2:10" ht="18" customHeight="1" x14ac:dyDescent="0.2">
      <c r="B9" s="681" t="s">
        <v>69</v>
      </c>
      <c r="C9" s="681"/>
      <c r="D9" s="681"/>
      <c r="E9" s="681"/>
      <c r="F9" s="681"/>
      <c r="G9" s="681"/>
      <c r="H9" s="681"/>
      <c r="I9" s="95">
        <f>SUM(I7:I8)</f>
        <v>463.86</v>
      </c>
    </row>
    <row r="10" spans="2:10" s="128" customFormat="1" ht="30" customHeight="1" x14ac:dyDescent="0.2">
      <c r="B10" s="674" t="s">
        <v>70</v>
      </c>
      <c r="C10" s="674"/>
      <c r="D10" s="674"/>
      <c r="E10" s="674"/>
      <c r="F10" s="674"/>
      <c r="G10" s="674"/>
      <c r="H10" s="674"/>
      <c r="I10" s="674"/>
    </row>
    <row r="11" spans="2:10" x14ac:dyDescent="0.2">
      <c r="B11" s="41" t="s">
        <v>59</v>
      </c>
      <c r="C11" s="40" t="s">
        <v>60</v>
      </c>
      <c r="D11" s="40" t="s">
        <v>6</v>
      </c>
      <c r="E11" s="42"/>
      <c r="F11" s="42"/>
      <c r="G11" s="36"/>
      <c r="H11" s="40" t="s">
        <v>71</v>
      </c>
      <c r="I11" s="43" t="s">
        <v>65</v>
      </c>
    </row>
    <row r="12" spans="2:10" x14ac:dyDescent="0.2">
      <c r="B12" s="44"/>
      <c r="C12" s="40"/>
      <c r="D12" s="40"/>
      <c r="E12" s="42"/>
      <c r="F12" s="42"/>
      <c r="G12" s="42"/>
      <c r="H12" s="40"/>
      <c r="I12" s="100">
        <f>D12*H12</f>
        <v>0</v>
      </c>
    </row>
    <row r="13" spans="2:10" ht="12.75" customHeight="1" x14ac:dyDescent="0.2">
      <c r="B13" s="598" t="s">
        <v>69</v>
      </c>
      <c r="C13" s="598"/>
      <c r="D13" s="598"/>
      <c r="E13" s="598"/>
      <c r="F13" s="598"/>
      <c r="G13" s="598"/>
      <c r="H13" s="598"/>
      <c r="I13" s="43">
        <f>SUM(I12:I12)</f>
        <v>0</v>
      </c>
    </row>
    <row r="14" spans="2:10" s="128" customFormat="1" ht="30" customHeight="1" x14ac:dyDescent="0.2">
      <c r="B14" s="674" t="s">
        <v>72</v>
      </c>
      <c r="C14" s="674"/>
      <c r="D14" s="674"/>
      <c r="E14" s="674"/>
      <c r="F14" s="674"/>
      <c r="G14" s="674"/>
      <c r="H14" s="674"/>
      <c r="I14" s="674"/>
    </row>
    <row r="15" spans="2:10" s="128" customFormat="1" ht="15.95" customHeight="1" x14ac:dyDescent="0.2">
      <c r="B15" s="45" t="s">
        <v>59</v>
      </c>
      <c r="C15" s="47" t="s">
        <v>60</v>
      </c>
      <c r="D15" s="47" t="s">
        <v>6</v>
      </c>
      <c r="E15" s="46"/>
      <c r="F15" s="46"/>
      <c r="G15" s="46"/>
      <c r="H15" s="47" t="s">
        <v>71</v>
      </c>
      <c r="I15" s="90" t="s">
        <v>65</v>
      </c>
    </row>
    <row r="16" spans="2:10" s="128" customFormat="1" ht="15.95" customHeight="1" x14ac:dyDescent="0.2">
      <c r="B16" s="266" t="s">
        <v>73</v>
      </c>
      <c r="C16" s="49" t="s">
        <v>13</v>
      </c>
      <c r="D16" s="49">
        <v>2</v>
      </c>
      <c r="E16" s="49"/>
      <c r="F16" s="49"/>
      <c r="G16" s="49"/>
      <c r="H16" s="56">
        <v>50</v>
      </c>
      <c r="I16" s="87">
        <f>D16*H16</f>
        <v>100</v>
      </c>
      <c r="J16" s="179"/>
    </row>
    <row r="17" spans="2:9" s="128" customFormat="1" ht="15.95" customHeight="1" x14ac:dyDescent="0.2">
      <c r="B17" s="598" t="s">
        <v>69</v>
      </c>
      <c r="C17" s="598"/>
      <c r="D17" s="598"/>
      <c r="E17" s="598"/>
      <c r="F17" s="598"/>
      <c r="G17" s="598"/>
      <c r="H17" s="598"/>
      <c r="I17" s="90">
        <f>SUM(I16:I16)</f>
        <v>100</v>
      </c>
    </row>
    <row r="18" spans="2:9" s="128" customFormat="1" ht="30" customHeight="1" x14ac:dyDescent="0.2">
      <c r="B18" s="674" t="s">
        <v>74</v>
      </c>
      <c r="C18" s="674"/>
      <c r="D18" s="674"/>
      <c r="E18" s="674"/>
      <c r="F18" s="674"/>
      <c r="G18" s="674"/>
      <c r="H18" s="674"/>
      <c r="I18" s="674"/>
    </row>
    <row r="19" spans="2:9" s="128" customFormat="1" ht="15.95" customHeight="1" x14ac:dyDescent="0.2">
      <c r="B19" s="150" t="s">
        <v>59</v>
      </c>
      <c r="C19" s="47" t="s">
        <v>60</v>
      </c>
      <c r="D19" s="47" t="s">
        <v>6</v>
      </c>
      <c r="E19" s="46"/>
      <c r="F19" s="46"/>
      <c r="G19" s="46"/>
      <c r="H19" s="47" t="s">
        <v>71</v>
      </c>
      <c r="I19" s="90" t="s">
        <v>65</v>
      </c>
    </row>
    <row r="20" spans="2:9" s="128" customFormat="1" ht="15.95" customHeight="1" x14ac:dyDescent="0.2">
      <c r="B20" s="91" t="s">
        <v>75</v>
      </c>
      <c r="C20" s="47" t="s">
        <v>67</v>
      </c>
      <c r="D20" s="47">
        <v>10</v>
      </c>
      <c r="E20" s="46"/>
      <c r="F20" s="46"/>
      <c r="G20" s="46"/>
      <c r="H20" s="56">
        <f>INSUMOS!E14</f>
        <v>3.42</v>
      </c>
      <c r="I20" s="87">
        <f>D20*H20</f>
        <v>34.200000000000003</v>
      </c>
    </row>
    <row r="21" spans="2:9" s="128" customFormat="1" ht="15.95" customHeight="1" x14ac:dyDescent="0.2">
      <c r="B21" s="599" t="s">
        <v>641</v>
      </c>
      <c r="C21" s="599"/>
      <c r="D21" s="599"/>
      <c r="E21" s="599"/>
      <c r="F21" s="599"/>
      <c r="G21" s="599"/>
      <c r="H21" s="599"/>
      <c r="I21" s="90">
        <f>I20*0.9103</f>
        <v>31.13</v>
      </c>
    </row>
    <row r="22" spans="2:9" s="128" customFormat="1" ht="15.95" customHeight="1" x14ac:dyDescent="0.2">
      <c r="B22" s="598" t="s">
        <v>69</v>
      </c>
      <c r="C22" s="598"/>
      <c r="D22" s="598"/>
      <c r="E22" s="598"/>
      <c r="F22" s="598"/>
      <c r="G22" s="598"/>
      <c r="H22" s="598"/>
      <c r="I22" s="95">
        <f>SUM(I20:I21)</f>
        <v>65.33</v>
      </c>
    </row>
    <row r="23" spans="2:9" s="128" customFormat="1" ht="15.95" customHeight="1" x14ac:dyDescent="0.2">
      <c r="B23" s="54" t="s">
        <v>76</v>
      </c>
      <c r="C23" s="145">
        <v>1</v>
      </c>
      <c r="D23" s="675" t="s">
        <v>77</v>
      </c>
      <c r="E23" s="675"/>
      <c r="F23" s="675"/>
      <c r="G23" s="675"/>
      <c r="H23" s="675"/>
      <c r="I23" s="95">
        <f>I22+I17+I13+I9</f>
        <v>629.19000000000005</v>
      </c>
    </row>
    <row r="24" spans="2:9" s="128" customFormat="1" ht="15.95" customHeight="1" x14ac:dyDescent="0.2">
      <c r="B24" s="593"/>
      <c r="C24" s="594"/>
      <c r="D24" s="594"/>
      <c r="E24" s="594"/>
      <c r="F24" s="594"/>
      <c r="G24" s="594"/>
      <c r="H24" s="595"/>
      <c r="I24" s="95">
        <f>I23/C23</f>
        <v>629.19000000000005</v>
      </c>
    </row>
    <row r="25" spans="2:9" s="128" customFormat="1" ht="15.95" customHeight="1" x14ac:dyDescent="0.2">
      <c r="B25" s="140" t="s">
        <v>346</v>
      </c>
      <c r="C25" s="146">
        <v>25</v>
      </c>
      <c r="D25" s="147" t="s">
        <v>272</v>
      </c>
      <c r="E25" s="137"/>
      <c r="F25" s="137"/>
      <c r="G25" s="137"/>
      <c r="H25" s="138"/>
      <c r="I25" s="90">
        <f>C25/100*I24</f>
        <v>157.30000000000001</v>
      </c>
    </row>
    <row r="26" spans="2:9" s="128" customFormat="1" ht="30" customHeight="1" thickBot="1" x14ac:dyDescent="0.25">
      <c r="B26" s="596" t="s">
        <v>78</v>
      </c>
      <c r="C26" s="680"/>
      <c r="D26" s="596"/>
      <c r="E26" s="596"/>
      <c r="F26" s="596"/>
      <c r="G26" s="596"/>
      <c r="H26" s="596"/>
      <c r="I26" s="136">
        <f>SUM(I24:I25)</f>
        <v>786.49</v>
      </c>
    </row>
    <row r="27" spans="2:9" x14ac:dyDescent="0.2">
      <c r="B27" s="55"/>
      <c r="C27" s="129"/>
      <c r="D27" s="129"/>
      <c r="E27" s="55"/>
      <c r="F27" s="55"/>
      <c r="G27" s="55"/>
      <c r="H27" s="55"/>
      <c r="I27" s="129"/>
    </row>
    <row r="28" spans="2:9" x14ac:dyDescent="0.2">
      <c r="B28" s="55"/>
      <c r="C28" s="129"/>
      <c r="D28" s="129"/>
      <c r="E28" s="55"/>
      <c r="F28" s="55"/>
      <c r="G28" s="55"/>
      <c r="H28" s="55"/>
      <c r="I28" s="129"/>
    </row>
    <row r="29" spans="2:9" x14ac:dyDescent="0.2">
      <c r="B29" s="55"/>
      <c r="C29" s="129"/>
      <c r="D29" s="129"/>
      <c r="E29" s="55"/>
      <c r="F29" s="55"/>
      <c r="G29" s="55"/>
      <c r="H29" s="55"/>
      <c r="I29" s="129"/>
    </row>
    <row r="30" spans="2:9" x14ac:dyDescent="0.2">
      <c r="B30" s="55"/>
      <c r="C30" s="129"/>
      <c r="D30" s="129"/>
      <c r="E30" s="55"/>
      <c r="F30" s="55"/>
      <c r="G30" s="55"/>
      <c r="H30" s="55"/>
      <c r="I30" s="129"/>
    </row>
    <row r="31" spans="2:9" x14ac:dyDescent="0.2">
      <c r="B31" s="55"/>
      <c r="C31" s="129"/>
      <c r="D31" s="129"/>
      <c r="E31" s="55"/>
      <c r="F31" s="55"/>
      <c r="G31" s="55"/>
      <c r="H31" s="55"/>
      <c r="I31" s="129"/>
    </row>
    <row r="32" spans="2:9" x14ac:dyDescent="0.2">
      <c r="B32" s="55"/>
      <c r="C32" s="129"/>
      <c r="D32" s="129"/>
      <c r="E32" s="55"/>
      <c r="F32" s="55"/>
      <c r="G32" s="55"/>
      <c r="H32" s="55"/>
      <c r="I32" s="129"/>
    </row>
    <row r="33" spans="2:10" ht="13.5" thickBot="1" x14ac:dyDescent="0.25">
      <c r="B33" s="55"/>
      <c r="C33" s="129"/>
      <c r="D33" s="129"/>
      <c r="E33" s="55"/>
      <c r="F33" s="55"/>
      <c r="G33" s="55"/>
      <c r="H33" s="55"/>
      <c r="I33" s="129"/>
    </row>
    <row r="34" spans="2:10" s="128" customFormat="1" ht="30" customHeight="1" x14ac:dyDescent="0.2">
      <c r="B34" s="202" t="s">
        <v>55</v>
      </c>
      <c r="C34" s="488" t="str">
        <f>INSTALAÇÃO!B18</f>
        <v>1.2</v>
      </c>
      <c r="D34" s="665" t="s">
        <v>56</v>
      </c>
      <c r="E34" s="665"/>
      <c r="F34" s="665"/>
      <c r="G34" s="665"/>
      <c r="H34" s="665"/>
      <c r="I34" s="665"/>
    </row>
    <row r="35" spans="2:10" s="128" customFormat="1" ht="30" customHeight="1" x14ac:dyDescent="0.2">
      <c r="B35" s="666" t="s">
        <v>344</v>
      </c>
      <c r="C35" s="667"/>
      <c r="D35" s="667"/>
      <c r="E35" s="667"/>
      <c r="F35" s="667"/>
      <c r="G35" s="668"/>
      <c r="H35" s="669" t="s">
        <v>568</v>
      </c>
      <c r="I35" s="670"/>
    </row>
    <row r="36" spans="2:10" s="128" customFormat="1" ht="30" customHeight="1" x14ac:dyDescent="0.2">
      <c r="B36" s="664" t="s">
        <v>79</v>
      </c>
      <c r="C36" s="664"/>
      <c r="D36" s="664"/>
      <c r="E36" s="664"/>
      <c r="F36" s="664"/>
      <c r="G36" s="664"/>
      <c r="H36" s="34" t="s">
        <v>57</v>
      </c>
      <c r="I36" s="127" t="s">
        <v>398</v>
      </c>
    </row>
    <row r="37" spans="2:10" s="128" customFormat="1" ht="30" customHeight="1" x14ac:dyDescent="0.2">
      <c r="B37" s="674" t="s">
        <v>58</v>
      </c>
      <c r="C37" s="674"/>
      <c r="D37" s="674"/>
      <c r="E37" s="674"/>
      <c r="F37" s="674"/>
      <c r="G37" s="674"/>
      <c r="H37" s="674"/>
      <c r="I37" s="674"/>
    </row>
    <row r="38" spans="2:10" ht="28.5" customHeight="1" x14ac:dyDescent="0.2">
      <c r="B38" s="35" t="s">
        <v>59</v>
      </c>
      <c r="C38" s="36" t="s">
        <v>60</v>
      </c>
      <c r="D38" s="36" t="s">
        <v>6</v>
      </c>
      <c r="E38" s="36" t="s">
        <v>61</v>
      </c>
      <c r="F38" s="36" t="s">
        <v>62</v>
      </c>
      <c r="G38" s="36" t="s">
        <v>63</v>
      </c>
      <c r="H38" s="36" t="s">
        <v>64</v>
      </c>
      <c r="I38" s="37" t="s">
        <v>65</v>
      </c>
    </row>
    <row r="39" spans="2:10" s="128" customFormat="1" ht="15" customHeight="1" x14ac:dyDescent="0.2">
      <c r="B39" s="38" t="s">
        <v>66</v>
      </c>
      <c r="C39" s="88" t="s">
        <v>67</v>
      </c>
      <c r="D39" s="88">
        <v>9</v>
      </c>
      <c r="E39" s="47">
        <v>1</v>
      </c>
      <c r="F39" s="47"/>
      <c r="G39" s="56">
        <f>INSUMOS!E98</f>
        <v>43.27</v>
      </c>
      <c r="H39" s="47"/>
      <c r="I39" s="87">
        <f>D39*E39*G39+D39*F39*H39</f>
        <v>389.43</v>
      </c>
    </row>
    <row r="40" spans="2:10" s="128" customFormat="1" ht="15" customHeight="1" x14ac:dyDescent="0.2">
      <c r="B40" s="38" t="s">
        <v>68</v>
      </c>
      <c r="C40" s="88" t="s">
        <v>67</v>
      </c>
      <c r="D40" s="88">
        <v>9</v>
      </c>
      <c r="E40" s="47">
        <v>1</v>
      </c>
      <c r="F40" s="47"/>
      <c r="G40" s="56">
        <f>INSUMOS!E87</f>
        <v>8.27</v>
      </c>
      <c r="H40" s="47"/>
      <c r="I40" s="87">
        <f>D40*E40*G40+D40*F40*H40</f>
        <v>74.430000000000007</v>
      </c>
    </row>
    <row r="41" spans="2:10" s="128" customFormat="1" ht="15" customHeight="1" x14ac:dyDescent="0.2">
      <c r="B41" s="681" t="s">
        <v>69</v>
      </c>
      <c r="C41" s="681"/>
      <c r="D41" s="681"/>
      <c r="E41" s="681"/>
      <c r="F41" s="681"/>
      <c r="G41" s="681"/>
      <c r="H41" s="681"/>
      <c r="I41" s="95">
        <f>SUM(I39:I40)</f>
        <v>463.86</v>
      </c>
    </row>
    <row r="42" spans="2:10" s="128" customFormat="1" ht="30" customHeight="1" x14ac:dyDescent="0.2">
      <c r="B42" s="674" t="s">
        <v>70</v>
      </c>
      <c r="C42" s="674"/>
      <c r="D42" s="674"/>
      <c r="E42" s="674"/>
      <c r="F42" s="674"/>
      <c r="G42" s="674"/>
      <c r="H42" s="674"/>
      <c r="I42" s="674"/>
    </row>
    <row r="43" spans="2:10" x14ac:dyDescent="0.2">
      <c r="B43" s="41" t="s">
        <v>59</v>
      </c>
      <c r="C43" s="40" t="s">
        <v>60</v>
      </c>
      <c r="D43" s="40" t="s">
        <v>6</v>
      </c>
      <c r="E43" s="42"/>
      <c r="F43" s="42"/>
      <c r="G43" s="42"/>
      <c r="H43" s="40" t="s">
        <v>71</v>
      </c>
      <c r="I43" s="43" t="s">
        <v>65</v>
      </c>
    </row>
    <row r="44" spans="2:10" x14ac:dyDescent="0.2">
      <c r="B44" s="44"/>
      <c r="C44" s="40"/>
      <c r="D44" s="40"/>
      <c r="E44" s="42"/>
      <c r="F44" s="42"/>
      <c r="G44" s="42"/>
      <c r="H44" s="40"/>
      <c r="I44" s="100">
        <f>D44*H44</f>
        <v>0</v>
      </c>
    </row>
    <row r="45" spans="2:10" ht="12.75" customHeight="1" x14ac:dyDescent="0.2">
      <c r="B45" s="598" t="s">
        <v>69</v>
      </c>
      <c r="C45" s="598"/>
      <c r="D45" s="598"/>
      <c r="E45" s="598"/>
      <c r="F45" s="598"/>
      <c r="G45" s="598"/>
      <c r="H45" s="598"/>
      <c r="I45" s="43">
        <f>SUM(I44:I44)</f>
        <v>0</v>
      </c>
    </row>
    <row r="46" spans="2:10" s="128" customFormat="1" ht="30" customHeight="1" x14ac:dyDescent="0.2">
      <c r="B46" s="674" t="s">
        <v>72</v>
      </c>
      <c r="C46" s="674"/>
      <c r="D46" s="674"/>
      <c r="E46" s="674"/>
      <c r="F46" s="674"/>
      <c r="G46" s="674"/>
      <c r="H46" s="674"/>
      <c r="I46" s="674"/>
    </row>
    <row r="47" spans="2:10" ht="15" customHeight="1" x14ac:dyDescent="0.2">
      <c r="B47" s="45" t="s">
        <v>59</v>
      </c>
      <c r="C47" s="145" t="s">
        <v>60</v>
      </c>
      <c r="D47" s="47" t="s">
        <v>6</v>
      </c>
      <c r="E47" s="46"/>
      <c r="F47" s="46"/>
      <c r="G47" s="46"/>
      <c r="H47" s="47" t="s">
        <v>71</v>
      </c>
      <c r="I47" s="43" t="s">
        <v>65</v>
      </c>
    </row>
    <row r="48" spans="2:10" ht="15" customHeight="1" x14ac:dyDescent="0.2">
      <c r="B48" s="414" t="s">
        <v>73</v>
      </c>
      <c r="C48" s="146" t="s">
        <v>398</v>
      </c>
      <c r="D48" s="276">
        <v>2</v>
      </c>
      <c r="E48" s="50"/>
      <c r="F48" s="50"/>
      <c r="G48" s="50"/>
      <c r="H48" s="56">
        <v>50</v>
      </c>
      <c r="I48" s="100">
        <f>D48*H48</f>
        <v>100</v>
      </c>
      <c r="J48" s="51"/>
    </row>
    <row r="49" spans="2:9" ht="15" customHeight="1" x14ac:dyDescent="0.2">
      <c r="B49" s="598" t="s">
        <v>69</v>
      </c>
      <c r="C49" s="646"/>
      <c r="D49" s="598"/>
      <c r="E49" s="598"/>
      <c r="F49" s="598"/>
      <c r="G49" s="598"/>
      <c r="H49" s="598"/>
      <c r="I49" s="43">
        <f>SUM(I48:I48)</f>
        <v>100</v>
      </c>
    </row>
    <row r="50" spans="2:9" s="128" customFormat="1" ht="30" customHeight="1" x14ac:dyDescent="0.2">
      <c r="B50" s="674" t="s">
        <v>74</v>
      </c>
      <c r="C50" s="674"/>
      <c r="D50" s="674"/>
      <c r="E50" s="674"/>
      <c r="F50" s="674"/>
      <c r="G50" s="674"/>
      <c r="H50" s="674"/>
      <c r="I50" s="674"/>
    </row>
    <row r="51" spans="2:9" ht="15" customHeight="1" x14ac:dyDescent="0.2">
      <c r="B51" s="150" t="s">
        <v>59</v>
      </c>
      <c r="C51" s="47" t="s">
        <v>60</v>
      </c>
      <c r="D51" s="47" t="s">
        <v>6</v>
      </c>
      <c r="E51" s="46"/>
      <c r="F51" s="46"/>
      <c r="G51" s="46"/>
      <c r="H51" s="47" t="s">
        <v>71</v>
      </c>
      <c r="I51" s="90" t="s">
        <v>65</v>
      </c>
    </row>
    <row r="52" spans="2:9" ht="15" customHeight="1" x14ac:dyDescent="0.2">
      <c r="B52" s="91" t="s">
        <v>75</v>
      </c>
      <c r="C52" s="47" t="s">
        <v>67</v>
      </c>
      <c r="D52" s="47">
        <v>10</v>
      </c>
      <c r="E52" s="46"/>
      <c r="F52" s="46"/>
      <c r="G52" s="46"/>
      <c r="H52" s="56">
        <f>INSUMOS!E14</f>
        <v>3.42</v>
      </c>
      <c r="I52" s="87">
        <f>D52*H52</f>
        <v>34.200000000000003</v>
      </c>
    </row>
    <row r="53" spans="2:9" ht="15" customHeight="1" x14ac:dyDescent="0.2">
      <c r="B53" s="599" t="s">
        <v>641</v>
      </c>
      <c r="C53" s="599"/>
      <c r="D53" s="599"/>
      <c r="E53" s="599"/>
      <c r="F53" s="599"/>
      <c r="G53" s="599"/>
      <c r="H53" s="599"/>
      <c r="I53" s="90">
        <f>I52*0.9103</f>
        <v>31.13</v>
      </c>
    </row>
    <row r="54" spans="2:9" ht="15" customHeight="1" x14ac:dyDescent="0.2">
      <c r="B54" s="598" t="s">
        <v>69</v>
      </c>
      <c r="C54" s="598"/>
      <c r="D54" s="598"/>
      <c r="E54" s="598"/>
      <c r="F54" s="598"/>
      <c r="G54" s="598"/>
      <c r="H54" s="598"/>
      <c r="I54" s="95">
        <f>SUM(I52:I53)</f>
        <v>65.33</v>
      </c>
    </row>
    <row r="55" spans="2:9" ht="15" customHeight="1" x14ac:dyDescent="0.2">
      <c r="B55" s="148" t="s">
        <v>76</v>
      </c>
      <c r="C55" s="149">
        <v>1</v>
      </c>
      <c r="D55" s="647" t="s">
        <v>77</v>
      </c>
      <c r="E55" s="647"/>
      <c r="F55" s="647"/>
      <c r="G55" s="647"/>
      <c r="H55" s="647"/>
      <c r="I55" s="95">
        <f>I54+I49+I45+I41</f>
        <v>629.19000000000005</v>
      </c>
    </row>
    <row r="56" spans="2:9" ht="15" customHeight="1" x14ac:dyDescent="0.2">
      <c r="B56" s="676"/>
      <c r="C56" s="677"/>
      <c r="D56" s="677"/>
      <c r="E56" s="677"/>
      <c r="F56" s="677"/>
      <c r="G56" s="677"/>
      <c r="H56" s="678"/>
      <c r="I56" s="95">
        <f>I55/C55</f>
        <v>629.19000000000005</v>
      </c>
    </row>
    <row r="57" spans="2:9" ht="15" customHeight="1" x14ac:dyDescent="0.2">
      <c r="B57" s="140" t="s">
        <v>346</v>
      </c>
      <c r="C57" s="146">
        <v>25</v>
      </c>
      <c r="D57" s="147" t="s">
        <v>272</v>
      </c>
      <c r="E57" s="137"/>
      <c r="F57" s="137"/>
      <c r="G57" s="137"/>
      <c r="H57" s="138"/>
      <c r="I57" s="90">
        <f>C57/100*I56</f>
        <v>157.30000000000001</v>
      </c>
    </row>
    <row r="58" spans="2:9" s="128" customFormat="1" ht="30" customHeight="1" thickBot="1" x14ac:dyDescent="0.25">
      <c r="B58" s="596" t="s">
        <v>78</v>
      </c>
      <c r="C58" s="596"/>
      <c r="D58" s="596"/>
      <c r="E58" s="596"/>
      <c r="F58" s="596"/>
      <c r="G58" s="596"/>
      <c r="H58" s="596"/>
      <c r="I58" s="136">
        <f>SUM(I56:I57)</f>
        <v>786.49</v>
      </c>
    </row>
    <row r="59" spans="2:9" x14ac:dyDescent="0.2">
      <c r="B59" s="55"/>
      <c r="C59" s="129"/>
      <c r="D59" s="129"/>
      <c r="E59" s="55"/>
      <c r="F59" s="55"/>
      <c r="G59" s="55"/>
      <c r="H59" s="55"/>
      <c r="I59" s="130"/>
    </row>
    <row r="60" spans="2:9" x14ac:dyDescent="0.2">
      <c r="B60" s="55"/>
      <c r="C60" s="129"/>
      <c r="D60" s="129"/>
      <c r="E60" s="55"/>
      <c r="F60" s="55"/>
      <c r="G60" s="55"/>
      <c r="H60" s="55"/>
      <c r="I60" s="130"/>
    </row>
    <row r="61" spans="2:9" x14ac:dyDescent="0.2">
      <c r="B61" s="55"/>
      <c r="C61" s="129"/>
      <c r="D61" s="129"/>
      <c r="E61" s="55"/>
      <c r="F61" s="55"/>
      <c r="G61" s="55"/>
      <c r="H61" s="55"/>
      <c r="I61" s="130"/>
    </row>
    <row r="62" spans="2:9" x14ac:dyDescent="0.2">
      <c r="B62" s="55"/>
      <c r="C62" s="129"/>
      <c r="D62" s="129"/>
      <c r="E62" s="55"/>
      <c r="F62" s="55"/>
      <c r="G62" s="55"/>
      <c r="H62" s="55"/>
      <c r="I62" s="130"/>
    </row>
    <row r="63" spans="2:9" x14ac:dyDescent="0.2">
      <c r="B63" s="55"/>
      <c r="C63" s="129"/>
      <c r="D63" s="129"/>
      <c r="E63" s="55"/>
      <c r="F63" s="55"/>
      <c r="G63" s="55"/>
      <c r="H63" s="55"/>
      <c r="I63" s="130"/>
    </row>
    <row r="64" spans="2:9" ht="13.5" thickBot="1" x14ac:dyDescent="0.25">
      <c r="B64" s="55"/>
      <c r="C64" s="129"/>
      <c r="D64" s="129"/>
      <c r="E64" s="55"/>
      <c r="F64" s="55"/>
      <c r="G64" s="55"/>
      <c r="H64" s="55"/>
      <c r="I64" s="130"/>
    </row>
    <row r="65" spans="2:10" s="128" customFormat="1" ht="30" customHeight="1" x14ac:dyDescent="0.2">
      <c r="B65" s="203" t="s">
        <v>55</v>
      </c>
      <c r="C65" s="488" t="str">
        <f>INSTALAÇÃO!B19</f>
        <v>1.3</v>
      </c>
      <c r="D65" s="687" t="s">
        <v>56</v>
      </c>
      <c r="E65" s="687"/>
      <c r="F65" s="687"/>
      <c r="G65" s="687"/>
      <c r="H65" s="687"/>
      <c r="I65" s="687"/>
    </row>
    <row r="66" spans="2:10" s="128" customFormat="1" ht="30" customHeight="1" x14ac:dyDescent="0.2">
      <c r="B66" s="666" t="s">
        <v>344</v>
      </c>
      <c r="C66" s="667"/>
      <c r="D66" s="667"/>
      <c r="E66" s="667"/>
      <c r="F66" s="667"/>
      <c r="G66" s="668"/>
      <c r="H66" s="669" t="s">
        <v>568</v>
      </c>
      <c r="I66" s="670"/>
    </row>
    <row r="67" spans="2:10" s="128" customFormat="1" ht="30" customHeight="1" x14ac:dyDescent="0.2">
      <c r="B67" s="682" t="s">
        <v>412</v>
      </c>
      <c r="C67" s="682"/>
      <c r="D67" s="682"/>
      <c r="E67" s="682"/>
      <c r="F67" s="682"/>
      <c r="G67" s="682"/>
      <c r="H67" s="60" t="s">
        <v>57</v>
      </c>
      <c r="I67" s="61" t="s">
        <v>85</v>
      </c>
    </row>
    <row r="68" spans="2:10" s="128" customFormat="1" ht="30" customHeight="1" x14ac:dyDescent="0.2">
      <c r="B68" s="674" t="s">
        <v>58</v>
      </c>
      <c r="C68" s="674"/>
      <c r="D68" s="674"/>
      <c r="E68" s="674"/>
      <c r="F68" s="674"/>
      <c r="G68" s="674"/>
      <c r="H68" s="674"/>
      <c r="I68" s="674"/>
    </row>
    <row r="69" spans="2:10" ht="25.5" x14ac:dyDescent="0.2">
      <c r="B69" s="150" t="s">
        <v>59</v>
      </c>
      <c r="C69" s="71" t="s">
        <v>5</v>
      </c>
      <c r="D69" s="47" t="s">
        <v>6</v>
      </c>
      <c r="E69" s="47" t="s">
        <v>61</v>
      </c>
      <c r="F69" s="47" t="s">
        <v>62</v>
      </c>
      <c r="G69" s="36" t="s">
        <v>63</v>
      </c>
      <c r="H69" s="36" t="s">
        <v>64</v>
      </c>
      <c r="I69" s="90" t="s">
        <v>65</v>
      </c>
    </row>
    <row r="70" spans="2:10" ht="12.95" customHeight="1" x14ac:dyDescent="0.2">
      <c r="B70" s="38"/>
      <c r="C70" s="39"/>
      <c r="D70" s="141"/>
      <c r="E70" s="40"/>
      <c r="F70" s="40"/>
      <c r="G70" s="58"/>
      <c r="H70" s="40"/>
      <c r="I70" s="100"/>
    </row>
    <row r="71" spans="2:10" ht="12.75" customHeight="1" x14ac:dyDescent="0.2">
      <c r="B71" s="681" t="s">
        <v>69</v>
      </c>
      <c r="C71" s="681"/>
      <c r="D71" s="681"/>
      <c r="E71" s="681"/>
      <c r="F71" s="681"/>
      <c r="G71" s="681"/>
      <c r="H71" s="681"/>
      <c r="I71" s="92">
        <f>SUM(I70:I70)</f>
        <v>0</v>
      </c>
    </row>
    <row r="72" spans="2:10" s="128" customFormat="1" ht="30" customHeight="1" x14ac:dyDescent="0.2">
      <c r="B72" s="683" t="s">
        <v>70</v>
      </c>
      <c r="C72" s="683"/>
      <c r="D72" s="683"/>
      <c r="E72" s="683"/>
      <c r="F72" s="683"/>
      <c r="G72" s="683"/>
      <c r="H72" s="683"/>
      <c r="I72" s="683"/>
    </row>
    <row r="73" spans="2:10" x14ac:dyDescent="0.2">
      <c r="B73" s="62" t="s">
        <v>59</v>
      </c>
      <c r="C73" s="57" t="s">
        <v>5</v>
      </c>
      <c r="D73" s="57" t="s">
        <v>6</v>
      </c>
      <c r="E73" s="63"/>
      <c r="F73" s="63"/>
      <c r="G73" s="63"/>
      <c r="H73" s="57" t="s">
        <v>71</v>
      </c>
      <c r="I73" s="64" t="s">
        <v>65</v>
      </c>
    </row>
    <row r="74" spans="2:10" ht="16.5" customHeight="1" x14ac:dyDescent="0.2">
      <c r="B74" s="151" t="s">
        <v>86</v>
      </c>
      <c r="C74" s="65" t="s">
        <v>27</v>
      </c>
      <c r="D74" s="152">
        <v>8.4</v>
      </c>
      <c r="E74" s="74"/>
      <c r="F74" s="74"/>
      <c r="G74" s="74"/>
      <c r="H74" s="75">
        <f>INSUMOS!E88</f>
        <v>5.25</v>
      </c>
      <c r="I74" s="153">
        <f>D74*H74</f>
        <v>44.1</v>
      </c>
      <c r="J74" s="51"/>
    </row>
    <row r="75" spans="2:10" ht="15" customHeight="1" x14ac:dyDescent="0.2">
      <c r="B75" s="154" t="s">
        <v>87</v>
      </c>
      <c r="C75" s="68" t="s">
        <v>88</v>
      </c>
      <c r="D75" s="83">
        <v>0.11</v>
      </c>
      <c r="E75" s="155"/>
      <c r="F75" s="74"/>
      <c r="G75" s="74"/>
      <c r="H75" s="75">
        <f>INSUMOS!E34</f>
        <v>6.51</v>
      </c>
      <c r="I75" s="153">
        <f>H75*D75</f>
        <v>0.72</v>
      </c>
      <c r="J75" s="51"/>
    </row>
    <row r="76" spans="2:10" ht="16.5" customHeight="1" x14ac:dyDescent="0.2">
      <c r="B76" s="156" t="s">
        <v>89</v>
      </c>
      <c r="C76" s="71" t="s">
        <v>27</v>
      </c>
      <c r="D76" s="71">
        <v>1</v>
      </c>
      <c r="E76" s="157"/>
      <c r="F76" s="70"/>
      <c r="G76" s="70"/>
      <c r="H76" s="75">
        <f>INSUMOS!E89</f>
        <v>2.7</v>
      </c>
      <c r="I76" s="153">
        <f>D76*H76</f>
        <v>2.7</v>
      </c>
    </row>
    <row r="77" spans="2:10" ht="15" customHeight="1" x14ac:dyDescent="0.2">
      <c r="B77" s="158" t="s">
        <v>90</v>
      </c>
      <c r="C77" s="159" t="s">
        <v>85</v>
      </c>
      <c r="D77" s="160">
        <v>1</v>
      </c>
      <c r="E77" s="70"/>
      <c r="F77" s="70"/>
      <c r="G77" s="70"/>
      <c r="H77" s="75">
        <f>INSUMOS!E152</f>
        <v>225.6</v>
      </c>
      <c r="I77" s="153">
        <f>D77*H77</f>
        <v>225.6</v>
      </c>
    </row>
    <row r="78" spans="2:10" x14ac:dyDescent="0.2">
      <c r="B78" s="679" t="s">
        <v>69</v>
      </c>
      <c r="C78" s="679"/>
      <c r="D78" s="679"/>
      <c r="E78" s="679"/>
      <c r="F78" s="679"/>
      <c r="G78" s="679"/>
      <c r="H78" s="679"/>
      <c r="I78" s="64">
        <f>SUM(I74:I77)</f>
        <v>273.12</v>
      </c>
    </row>
    <row r="79" spans="2:10" s="128" customFormat="1" ht="30" customHeight="1" x14ac:dyDescent="0.2">
      <c r="B79" s="683" t="s">
        <v>72</v>
      </c>
      <c r="C79" s="683"/>
      <c r="D79" s="683"/>
      <c r="E79" s="683"/>
      <c r="F79" s="683"/>
      <c r="G79" s="683"/>
      <c r="H79" s="683"/>
      <c r="I79" s="683"/>
    </row>
    <row r="80" spans="2:10" x14ac:dyDescent="0.2">
      <c r="B80" s="69" t="s">
        <v>59</v>
      </c>
      <c r="C80" s="57" t="s">
        <v>5</v>
      </c>
      <c r="D80" s="71" t="s">
        <v>6</v>
      </c>
      <c r="E80" s="70"/>
      <c r="F80" s="70"/>
      <c r="G80" s="70"/>
      <c r="H80" s="71" t="s">
        <v>71</v>
      </c>
      <c r="I80" s="64" t="s">
        <v>65</v>
      </c>
    </row>
    <row r="81" spans="2:10" x14ac:dyDescent="0.2">
      <c r="B81" s="72"/>
      <c r="C81" s="73"/>
      <c r="D81" s="142"/>
      <c r="E81" s="74"/>
      <c r="F81" s="74"/>
      <c r="G81" s="74"/>
      <c r="H81" s="83"/>
      <c r="I81" s="133">
        <f>D81*H81</f>
        <v>0</v>
      </c>
      <c r="J81" s="51"/>
    </row>
    <row r="82" spans="2:10" x14ac:dyDescent="0.2">
      <c r="B82" s="679" t="s">
        <v>69</v>
      </c>
      <c r="C82" s="679"/>
      <c r="D82" s="679"/>
      <c r="E82" s="679"/>
      <c r="F82" s="679"/>
      <c r="G82" s="679"/>
      <c r="H82" s="679"/>
      <c r="I82" s="64">
        <f>I81</f>
        <v>0</v>
      </c>
    </row>
    <row r="83" spans="2:10" s="128" customFormat="1" ht="30" customHeight="1" x14ac:dyDescent="0.2">
      <c r="B83" s="683" t="s">
        <v>74</v>
      </c>
      <c r="C83" s="683"/>
      <c r="D83" s="683"/>
      <c r="E83" s="683"/>
      <c r="F83" s="683"/>
      <c r="G83" s="683"/>
      <c r="H83" s="683"/>
      <c r="I83" s="683"/>
    </row>
    <row r="84" spans="2:10" x14ac:dyDescent="0.2">
      <c r="B84" s="76" t="s">
        <v>59</v>
      </c>
      <c r="C84" s="57" t="s">
        <v>5</v>
      </c>
      <c r="D84" s="57" t="s">
        <v>6</v>
      </c>
      <c r="E84" s="63"/>
      <c r="F84" s="63"/>
      <c r="G84" s="63"/>
      <c r="H84" s="57" t="s">
        <v>71</v>
      </c>
      <c r="I84" s="64" t="s">
        <v>65</v>
      </c>
    </row>
    <row r="85" spans="2:10" x14ac:dyDescent="0.2">
      <c r="B85" s="77" t="s">
        <v>91</v>
      </c>
      <c r="C85" s="57" t="s">
        <v>67</v>
      </c>
      <c r="D85" s="57">
        <v>2</v>
      </c>
      <c r="E85" s="63"/>
      <c r="F85" s="63"/>
      <c r="G85" s="63"/>
      <c r="H85" s="67">
        <f>INSUMOS!E18</f>
        <v>4.55</v>
      </c>
      <c r="I85" s="133">
        <f>D85*H85</f>
        <v>9.1</v>
      </c>
    </row>
    <row r="86" spans="2:10" x14ac:dyDescent="0.2">
      <c r="B86" s="77" t="s">
        <v>75</v>
      </c>
      <c r="C86" s="57" t="s">
        <v>67</v>
      </c>
      <c r="D86" s="73">
        <v>2</v>
      </c>
      <c r="E86" s="73"/>
      <c r="F86" s="66"/>
      <c r="G86" s="66"/>
      <c r="H86" s="67">
        <f>INSUMOS!E14</f>
        <v>3.42</v>
      </c>
      <c r="I86" s="133">
        <f>D86*H86</f>
        <v>6.84</v>
      </c>
    </row>
    <row r="87" spans="2:10" x14ac:dyDescent="0.2">
      <c r="B87" s="599" t="s">
        <v>641</v>
      </c>
      <c r="C87" s="599"/>
      <c r="D87" s="599"/>
      <c r="E87" s="599"/>
      <c r="F87" s="599"/>
      <c r="G87" s="599"/>
      <c r="H87" s="599"/>
      <c r="I87" s="90">
        <f>SUM(I85:I86)*0.9103</f>
        <v>14.51</v>
      </c>
    </row>
    <row r="88" spans="2:10" x14ac:dyDescent="0.2">
      <c r="B88" s="679" t="s">
        <v>69</v>
      </c>
      <c r="C88" s="679"/>
      <c r="D88" s="679"/>
      <c r="E88" s="679"/>
      <c r="F88" s="679"/>
      <c r="G88" s="679"/>
      <c r="H88" s="679"/>
      <c r="I88" s="132">
        <f>SUM(I85:I87)</f>
        <v>30.45</v>
      </c>
    </row>
    <row r="89" spans="2:10" x14ac:dyDescent="0.2">
      <c r="B89" s="148" t="s">
        <v>76</v>
      </c>
      <c r="C89" s="149">
        <v>1</v>
      </c>
      <c r="D89" s="671" t="s">
        <v>77</v>
      </c>
      <c r="E89" s="672"/>
      <c r="F89" s="672"/>
      <c r="G89" s="672"/>
      <c r="H89" s="673"/>
      <c r="I89" s="92">
        <f>I88+I82+I78+I71</f>
        <v>303.57</v>
      </c>
    </row>
    <row r="90" spans="2:10" x14ac:dyDescent="0.2">
      <c r="B90" s="593"/>
      <c r="C90" s="594"/>
      <c r="D90" s="594"/>
      <c r="E90" s="594"/>
      <c r="F90" s="594"/>
      <c r="G90" s="594"/>
      <c r="H90" s="595"/>
      <c r="I90" s="92">
        <f>I89/C89</f>
        <v>303.57</v>
      </c>
    </row>
    <row r="91" spans="2:10" ht="12.75" customHeight="1" x14ac:dyDescent="0.2">
      <c r="B91" s="140" t="s">
        <v>346</v>
      </c>
      <c r="C91" s="146">
        <v>25</v>
      </c>
      <c r="D91" s="147" t="s">
        <v>272</v>
      </c>
      <c r="E91" s="137"/>
      <c r="F91" s="137"/>
      <c r="G91" s="137"/>
      <c r="H91" s="138"/>
      <c r="I91" s="90">
        <f>C91/100*I90</f>
        <v>75.89</v>
      </c>
    </row>
    <row r="92" spans="2:10" s="128" customFormat="1" ht="30" customHeight="1" thickBot="1" x14ac:dyDescent="0.25">
      <c r="B92" s="684" t="s">
        <v>78</v>
      </c>
      <c r="C92" s="684"/>
      <c r="D92" s="684"/>
      <c r="E92" s="684"/>
      <c r="F92" s="684"/>
      <c r="G92" s="684"/>
      <c r="H92" s="684"/>
      <c r="I92" s="136">
        <f>SUM(I90:I91)</f>
        <v>379.46</v>
      </c>
    </row>
    <row r="93" spans="2:10" x14ac:dyDescent="0.2">
      <c r="B93" s="55"/>
      <c r="C93" s="129"/>
      <c r="D93" s="129"/>
      <c r="E93" s="55"/>
      <c r="F93" s="55"/>
      <c r="G93" s="55"/>
      <c r="H93" s="55"/>
      <c r="I93" s="130"/>
    </row>
    <row r="94" spans="2:10" x14ac:dyDescent="0.2">
      <c r="B94" s="55"/>
      <c r="C94" s="129"/>
      <c r="D94" s="129"/>
      <c r="E94" s="55"/>
      <c r="F94" s="55"/>
      <c r="G94" s="55"/>
      <c r="H94" s="55"/>
      <c r="I94" s="130"/>
    </row>
    <row r="95" spans="2:10" x14ac:dyDescent="0.2">
      <c r="B95" s="55"/>
      <c r="C95" s="129"/>
      <c r="D95" s="129"/>
      <c r="E95" s="55"/>
      <c r="F95" s="55"/>
      <c r="G95" s="55"/>
      <c r="H95" s="55"/>
      <c r="I95" s="130"/>
    </row>
    <row r="96" spans="2:10" x14ac:dyDescent="0.2">
      <c r="B96" s="55"/>
      <c r="C96" s="129"/>
      <c r="D96" s="129"/>
      <c r="E96" s="55"/>
      <c r="F96" s="55"/>
      <c r="G96" s="55"/>
      <c r="H96" s="55"/>
      <c r="I96" s="130"/>
    </row>
    <row r="97" spans="2:10" x14ac:dyDescent="0.2">
      <c r="B97" s="55"/>
      <c r="C97" s="129"/>
      <c r="D97" s="129"/>
      <c r="E97" s="55"/>
      <c r="F97" s="55"/>
      <c r="G97" s="55"/>
      <c r="H97" s="55"/>
      <c r="I97" s="130"/>
    </row>
    <row r="98" spans="2:10" x14ac:dyDescent="0.2">
      <c r="B98" s="55"/>
      <c r="C98" s="129"/>
      <c r="D98" s="129"/>
      <c r="E98" s="55"/>
      <c r="F98" s="55"/>
      <c r="G98" s="55"/>
      <c r="H98" s="55"/>
      <c r="I98" s="130"/>
    </row>
    <row r="99" spans="2:10" ht="13.5" thickBot="1" x14ac:dyDescent="0.25"/>
    <row r="100" spans="2:10" s="128" customFormat="1" ht="30" customHeight="1" x14ac:dyDescent="0.2">
      <c r="B100" s="202" t="s">
        <v>55</v>
      </c>
      <c r="C100" s="488" t="str">
        <f>INSTALAÇÃO!B21</f>
        <v>1.5</v>
      </c>
      <c r="D100" s="665" t="s">
        <v>56</v>
      </c>
      <c r="E100" s="665"/>
      <c r="F100" s="665"/>
      <c r="G100" s="665"/>
      <c r="H100" s="665"/>
      <c r="I100" s="665"/>
    </row>
    <row r="101" spans="2:10" s="128" customFormat="1" ht="30" customHeight="1" x14ac:dyDescent="0.2">
      <c r="B101" s="666" t="s">
        <v>344</v>
      </c>
      <c r="C101" s="667"/>
      <c r="D101" s="667"/>
      <c r="E101" s="667"/>
      <c r="F101" s="667"/>
      <c r="G101" s="668"/>
      <c r="H101" s="669" t="s">
        <v>568</v>
      </c>
      <c r="I101" s="670"/>
    </row>
    <row r="102" spans="2:10" s="128" customFormat="1" ht="30" customHeight="1" x14ac:dyDescent="0.2">
      <c r="B102" s="664" t="s">
        <v>601</v>
      </c>
      <c r="C102" s="664"/>
      <c r="D102" s="664"/>
      <c r="E102" s="664"/>
      <c r="F102" s="664"/>
      <c r="G102" s="664"/>
      <c r="H102" s="34" t="s">
        <v>57</v>
      </c>
      <c r="I102" s="127" t="s">
        <v>19</v>
      </c>
    </row>
    <row r="103" spans="2:10" s="128" customFormat="1" ht="30" customHeight="1" x14ac:dyDescent="0.2">
      <c r="B103" s="674" t="s">
        <v>58</v>
      </c>
      <c r="C103" s="674"/>
      <c r="D103" s="674"/>
      <c r="E103" s="674"/>
      <c r="F103" s="674"/>
      <c r="G103" s="674"/>
      <c r="H103" s="674"/>
      <c r="I103" s="674"/>
    </row>
    <row r="104" spans="2:10" ht="25.5" x14ac:dyDescent="0.2">
      <c r="B104" s="150" t="s">
        <v>59</v>
      </c>
      <c r="C104" s="71" t="s">
        <v>5</v>
      </c>
      <c r="D104" s="47" t="s">
        <v>6</v>
      </c>
      <c r="E104" s="47" t="s">
        <v>61</v>
      </c>
      <c r="F104" s="47" t="s">
        <v>62</v>
      </c>
      <c r="G104" s="36" t="s">
        <v>63</v>
      </c>
      <c r="H104" s="36" t="s">
        <v>64</v>
      </c>
      <c r="I104" s="90" t="s">
        <v>65</v>
      </c>
    </row>
    <row r="105" spans="2:10" ht="15" customHeight="1" x14ac:dyDescent="0.2">
      <c r="B105" s="99" t="s">
        <v>349</v>
      </c>
      <c r="C105" s="85" t="s">
        <v>19</v>
      </c>
      <c r="D105" s="86">
        <v>0.5</v>
      </c>
      <c r="E105" s="49">
        <v>1</v>
      </c>
      <c r="F105" s="49"/>
      <c r="G105" s="56">
        <f>Veiculo!D46</f>
        <v>2333.06</v>
      </c>
      <c r="H105" s="49"/>
      <c r="I105" s="87">
        <f>D105*E105*G105+D105*F105*H105</f>
        <v>1166.53</v>
      </c>
    </row>
    <row r="106" spans="2:10" ht="15" customHeight="1" x14ac:dyDescent="0.2">
      <c r="B106" s="681" t="s">
        <v>69</v>
      </c>
      <c r="C106" s="681"/>
      <c r="D106" s="681"/>
      <c r="E106" s="681"/>
      <c r="F106" s="681"/>
      <c r="G106" s="681"/>
      <c r="H106" s="681"/>
      <c r="I106" s="92">
        <f>SUM(I105:I105)</f>
        <v>1166.53</v>
      </c>
    </row>
    <row r="107" spans="2:10" s="128" customFormat="1" ht="30" customHeight="1" x14ac:dyDescent="0.2">
      <c r="B107" s="674" t="s">
        <v>70</v>
      </c>
      <c r="C107" s="674"/>
      <c r="D107" s="674"/>
      <c r="E107" s="674"/>
      <c r="F107" s="674"/>
      <c r="G107" s="674"/>
      <c r="H107" s="674"/>
      <c r="I107" s="674"/>
    </row>
    <row r="108" spans="2:10" s="128" customFormat="1" ht="15" customHeight="1" x14ac:dyDescent="0.2">
      <c r="B108" s="150" t="s">
        <v>59</v>
      </c>
      <c r="C108" s="71" t="s">
        <v>5</v>
      </c>
      <c r="D108" s="47" t="s">
        <v>6</v>
      </c>
      <c r="E108" s="46"/>
      <c r="F108" s="46"/>
      <c r="G108" s="46"/>
      <c r="H108" s="47" t="s">
        <v>71</v>
      </c>
      <c r="I108" s="90" t="s">
        <v>65</v>
      </c>
    </row>
    <row r="109" spans="2:10" s="128" customFormat="1" ht="15" customHeight="1" x14ac:dyDescent="0.2">
      <c r="B109" s="264" t="s">
        <v>80</v>
      </c>
      <c r="C109" s="146" t="s">
        <v>398</v>
      </c>
      <c r="D109" s="49">
        <v>0.25</v>
      </c>
      <c r="E109" s="50"/>
      <c r="F109" s="50"/>
      <c r="G109" s="50"/>
      <c r="H109" s="56">
        <f>INSUMOS!E107</f>
        <v>8.83</v>
      </c>
      <c r="I109" s="87">
        <f>H109*D109</f>
        <v>2.21</v>
      </c>
      <c r="J109" s="265"/>
    </row>
    <row r="110" spans="2:10" s="128" customFormat="1" ht="15" customHeight="1" x14ac:dyDescent="0.2">
      <c r="B110" s="264" t="s">
        <v>81</v>
      </c>
      <c r="C110" s="146" t="s">
        <v>398</v>
      </c>
      <c r="D110" s="49">
        <v>0.25</v>
      </c>
      <c r="E110" s="50"/>
      <c r="F110" s="50"/>
      <c r="G110" s="50"/>
      <c r="H110" s="56">
        <f>INSUMOS!E108</f>
        <v>25.05</v>
      </c>
      <c r="I110" s="87">
        <f>H110*D110</f>
        <v>6.26</v>
      </c>
      <c r="J110" s="265"/>
    </row>
    <row r="111" spans="2:10" s="128" customFormat="1" ht="15" customHeight="1" x14ac:dyDescent="0.2">
      <c r="B111" s="264" t="s">
        <v>82</v>
      </c>
      <c r="C111" s="146" t="s">
        <v>398</v>
      </c>
      <c r="D111" s="49">
        <v>0.25</v>
      </c>
      <c r="E111" s="50"/>
      <c r="F111" s="50"/>
      <c r="G111" s="50"/>
      <c r="H111" s="56">
        <f>INSUMOS!E109</f>
        <v>6.7</v>
      </c>
      <c r="I111" s="87">
        <f>H111*D111</f>
        <v>1.68</v>
      </c>
      <c r="J111" s="265"/>
    </row>
    <row r="112" spans="2:10" s="128" customFormat="1" ht="15" customHeight="1" x14ac:dyDescent="0.2">
      <c r="B112" s="264" t="s">
        <v>83</v>
      </c>
      <c r="C112" s="146" t="s">
        <v>398</v>
      </c>
      <c r="D112" s="49">
        <v>0.25</v>
      </c>
      <c r="E112" s="50"/>
      <c r="F112" s="50"/>
      <c r="G112" s="50"/>
      <c r="H112" s="56">
        <f>INSUMOS!E110</f>
        <v>1.1399999999999999</v>
      </c>
      <c r="I112" s="87">
        <f>H112*D112</f>
        <v>0.28999999999999998</v>
      </c>
      <c r="J112" s="265"/>
    </row>
    <row r="113" spans="2:9" s="128" customFormat="1" ht="15" customHeight="1" x14ac:dyDescent="0.2">
      <c r="B113" s="598" t="s">
        <v>69</v>
      </c>
      <c r="C113" s="598"/>
      <c r="D113" s="598"/>
      <c r="E113" s="598"/>
      <c r="F113" s="598"/>
      <c r="G113" s="598"/>
      <c r="H113" s="598"/>
      <c r="I113" s="90">
        <f>SUM(I109:I112)</f>
        <v>10.44</v>
      </c>
    </row>
    <row r="114" spans="2:9" s="128" customFormat="1" ht="30" customHeight="1" x14ac:dyDescent="0.2">
      <c r="B114" s="674" t="s">
        <v>72</v>
      </c>
      <c r="C114" s="674"/>
      <c r="D114" s="674"/>
      <c r="E114" s="674"/>
      <c r="F114" s="674"/>
      <c r="G114" s="674"/>
      <c r="H114" s="674"/>
      <c r="I114" s="674"/>
    </row>
    <row r="115" spans="2:9" ht="14.1" customHeight="1" x14ac:dyDescent="0.2">
      <c r="B115" s="45" t="s">
        <v>59</v>
      </c>
      <c r="C115" s="57" t="s">
        <v>5</v>
      </c>
      <c r="D115" s="47" t="s">
        <v>6</v>
      </c>
      <c r="E115" s="46"/>
      <c r="F115" s="46"/>
      <c r="G115" s="46"/>
      <c r="H115" s="47" t="s">
        <v>71</v>
      </c>
      <c r="I115" s="43" t="s">
        <v>65</v>
      </c>
    </row>
    <row r="116" spans="2:9" ht="14.1" customHeight="1" x14ac:dyDescent="0.2">
      <c r="B116" s="48"/>
      <c r="C116" s="47"/>
      <c r="D116" s="47"/>
      <c r="E116" s="46"/>
      <c r="F116" s="46"/>
      <c r="G116" s="46"/>
      <c r="H116" s="47"/>
      <c r="I116" s="43">
        <f>D116*H116</f>
        <v>0</v>
      </c>
    </row>
    <row r="117" spans="2:9" ht="14.1" customHeight="1" x14ac:dyDescent="0.2">
      <c r="B117" s="598" t="s">
        <v>69</v>
      </c>
      <c r="C117" s="598"/>
      <c r="D117" s="598"/>
      <c r="E117" s="598"/>
      <c r="F117" s="598"/>
      <c r="G117" s="598"/>
      <c r="H117" s="598"/>
      <c r="I117" s="43">
        <f>SUM(I116:I116)</f>
        <v>0</v>
      </c>
    </row>
    <row r="118" spans="2:9" s="128" customFormat="1" ht="30" customHeight="1" x14ac:dyDescent="0.2">
      <c r="B118" s="674" t="s">
        <v>74</v>
      </c>
      <c r="C118" s="674"/>
      <c r="D118" s="674"/>
      <c r="E118" s="674"/>
      <c r="F118" s="674"/>
      <c r="G118" s="674"/>
      <c r="H118" s="674"/>
      <c r="I118" s="674"/>
    </row>
    <row r="119" spans="2:9" ht="15" customHeight="1" x14ac:dyDescent="0.2">
      <c r="B119" s="150" t="s">
        <v>59</v>
      </c>
      <c r="C119" s="71" t="s">
        <v>5</v>
      </c>
      <c r="D119" s="47" t="s">
        <v>6</v>
      </c>
      <c r="E119" s="46"/>
      <c r="F119" s="46"/>
      <c r="G119" s="46"/>
      <c r="H119" s="47" t="s">
        <v>71</v>
      </c>
      <c r="I119" s="90" t="s">
        <v>65</v>
      </c>
    </row>
    <row r="120" spans="2:9" ht="15" customHeight="1" x14ac:dyDescent="0.2">
      <c r="B120" s="91" t="s">
        <v>96</v>
      </c>
      <c r="C120" s="47" t="s">
        <v>67</v>
      </c>
      <c r="D120" s="47">
        <f>4*8</f>
        <v>32</v>
      </c>
      <c r="E120" s="46"/>
      <c r="F120" s="46"/>
      <c r="G120" s="46"/>
      <c r="H120" s="56">
        <f>INSUMOS!E12</f>
        <v>26.19</v>
      </c>
      <c r="I120" s="87">
        <f>D120*H120</f>
        <v>838.08</v>
      </c>
    </row>
    <row r="121" spans="2:9" ht="15" customHeight="1" x14ac:dyDescent="0.2">
      <c r="B121" s="91" t="s">
        <v>84</v>
      </c>
      <c r="C121" s="47" t="s">
        <v>67</v>
      </c>
      <c r="D121" s="47">
        <f>4*8</f>
        <v>32</v>
      </c>
      <c r="E121" s="46"/>
      <c r="F121" s="46"/>
      <c r="G121" s="46"/>
      <c r="H121" s="56">
        <f>INSUMOS!E16</f>
        <v>8.98</v>
      </c>
      <c r="I121" s="87">
        <f>D121*H121</f>
        <v>287.36</v>
      </c>
    </row>
    <row r="122" spans="2:9" ht="15" customHeight="1" x14ac:dyDescent="0.2">
      <c r="B122" s="599" t="s">
        <v>641</v>
      </c>
      <c r="C122" s="599"/>
      <c r="D122" s="599"/>
      <c r="E122" s="599"/>
      <c r="F122" s="599"/>
      <c r="G122" s="599"/>
      <c r="H122" s="599"/>
      <c r="I122" s="90">
        <f>SUM(I120:I121)*0.9103</f>
        <v>1024.49</v>
      </c>
    </row>
    <row r="123" spans="2:9" ht="15" customHeight="1" x14ac:dyDescent="0.2">
      <c r="B123" s="598" t="s">
        <v>69</v>
      </c>
      <c r="C123" s="598"/>
      <c r="D123" s="598"/>
      <c r="E123" s="598"/>
      <c r="F123" s="598"/>
      <c r="G123" s="598"/>
      <c r="H123" s="598"/>
      <c r="I123" s="95">
        <f>SUM(I120:I122)</f>
        <v>2149.9299999999998</v>
      </c>
    </row>
    <row r="124" spans="2:9" ht="15" customHeight="1" x14ac:dyDescent="0.2">
      <c r="B124" s="148" t="s">
        <v>76</v>
      </c>
      <c r="C124" s="149">
        <v>1</v>
      </c>
      <c r="D124" s="686" t="s">
        <v>77</v>
      </c>
      <c r="E124" s="686"/>
      <c r="F124" s="686"/>
      <c r="G124" s="686"/>
      <c r="H124" s="686"/>
      <c r="I124" s="95">
        <f>I123+I117+I113+I106</f>
        <v>3326.9</v>
      </c>
    </row>
    <row r="125" spans="2:9" ht="15" customHeight="1" x14ac:dyDescent="0.2">
      <c r="B125" s="676"/>
      <c r="C125" s="677"/>
      <c r="D125" s="677"/>
      <c r="E125" s="677"/>
      <c r="F125" s="677"/>
      <c r="G125" s="677"/>
      <c r="H125" s="678"/>
      <c r="I125" s="95">
        <f>I124/C124</f>
        <v>3326.9</v>
      </c>
    </row>
    <row r="126" spans="2:9" ht="15" customHeight="1" x14ac:dyDescent="0.2">
      <c r="B126" s="140" t="s">
        <v>346</v>
      </c>
      <c r="C126" s="146">
        <v>25</v>
      </c>
      <c r="D126" s="147" t="s">
        <v>272</v>
      </c>
      <c r="E126" s="137"/>
      <c r="F126" s="137"/>
      <c r="G126" s="137"/>
      <c r="H126" s="138"/>
      <c r="I126" s="90">
        <f>C126/100*I125</f>
        <v>831.73</v>
      </c>
    </row>
    <row r="127" spans="2:9" s="128" customFormat="1" ht="30" customHeight="1" thickBot="1" x14ac:dyDescent="0.25">
      <c r="B127" s="596" t="s">
        <v>78</v>
      </c>
      <c r="C127" s="596"/>
      <c r="D127" s="596"/>
      <c r="E127" s="596"/>
      <c r="F127" s="596"/>
      <c r="G127" s="596"/>
      <c r="H127" s="596"/>
      <c r="I127" s="136">
        <f>SUM(I125:I126)</f>
        <v>4158.63</v>
      </c>
    </row>
    <row r="128" spans="2:9" ht="15.75" customHeight="1" x14ac:dyDescent="0.2"/>
    <row r="129" spans="2:10" ht="15.75" customHeight="1" x14ac:dyDescent="0.2"/>
    <row r="130" spans="2:10" ht="15.75" customHeight="1" x14ac:dyDescent="0.2"/>
    <row r="131" spans="2:10" ht="15.75" customHeight="1" x14ac:dyDescent="0.2"/>
    <row r="132" spans="2:10" ht="15.75" customHeight="1" x14ac:dyDescent="0.2"/>
    <row r="133" spans="2:10" ht="13.5" thickBot="1" x14ac:dyDescent="0.25"/>
    <row r="134" spans="2:10" s="128" customFormat="1" ht="30" customHeight="1" x14ac:dyDescent="0.2">
      <c r="B134" s="202" t="s">
        <v>55</v>
      </c>
      <c r="C134" s="488" t="str">
        <f>INSTALAÇÃO!B21</f>
        <v>1.5</v>
      </c>
      <c r="D134" s="665" t="s">
        <v>56</v>
      </c>
      <c r="E134" s="665"/>
      <c r="F134" s="665"/>
      <c r="G134" s="665"/>
      <c r="H134" s="665"/>
      <c r="I134" s="665"/>
    </row>
    <row r="135" spans="2:10" s="128" customFormat="1" ht="30" customHeight="1" x14ac:dyDescent="0.2">
      <c r="B135" s="666" t="s">
        <v>344</v>
      </c>
      <c r="C135" s="667"/>
      <c r="D135" s="667"/>
      <c r="E135" s="667"/>
      <c r="F135" s="667"/>
      <c r="G135" s="668"/>
      <c r="H135" s="669" t="s">
        <v>568</v>
      </c>
      <c r="I135" s="670"/>
    </row>
    <row r="136" spans="2:10" s="128" customFormat="1" ht="30" customHeight="1" x14ac:dyDescent="0.2">
      <c r="B136" s="664" t="s">
        <v>602</v>
      </c>
      <c r="C136" s="664"/>
      <c r="D136" s="664"/>
      <c r="E136" s="664"/>
      <c r="F136" s="664"/>
      <c r="G136" s="664"/>
      <c r="H136" s="34" t="s">
        <v>57</v>
      </c>
      <c r="I136" s="127" t="s">
        <v>19</v>
      </c>
    </row>
    <row r="137" spans="2:10" s="128" customFormat="1" ht="30" customHeight="1" x14ac:dyDescent="0.2">
      <c r="B137" s="674" t="s">
        <v>58</v>
      </c>
      <c r="C137" s="674"/>
      <c r="D137" s="674"/>
      <c r="E137" s="674"/>
      <c r="F137" s="674"/>
      <c r="G137" s="674"/>
      <c r="H137" s="674"/>
      <c r="I137" s="674"/>
    </row>
    <row r="138" spans="2:10" ht="25.5" x14ac:dyDescent="0.2">
      <c r="B138" s="150" t="s">
        <v>59</v>
      </c>
      <c r="C138" s="71" t="s">
        <v>5</v>
      </c>
      <c r="D138" s="47" t="s">
        <v>6</v>
      </c>
      <c r="E138" s="47" t="s">
        <v>61</v>
      </c>
      <c r="F138" s="47" t="s">
        <v>62</v>
      </c>
      <c r="G138" s="36" t="s">
        <v>63</v>
      </c>
      <c r="H138" s="36" t="s">
        <v>64</v>
      </c>
      <c r="I138" s="90" t="s">
        <v>65</v>
      </c>
    </row>
    <row r="139" spans="2:10" ht="15" customHeight="1" x14ac:dyDescent="0.2">
      <c r="B139" s="99" t="s">
        <v>349</v>
      </c>
      <c r="C139" s="85" t="s">
        <v>19</v>
      </c>
      <c r="D139" s="86">
        <v>0.5</v>
      </c>
      <c r="E139" s="49">
        <v>1</v>
      </c>
      <c r="F139" s="49"/>
      <c r="G139" s="56">
        <f>Veiculo!D46</f>
        <v>2333.06</v>
      </c>
      <c r="H139" s="49"/>
      <c r="I139" s="87">
        <f>D139*E139*G139+D139*F139*H139</f>
        <v>1166.53</v>
      </c>
    </row>
    <row r="140" spans="2:10" ht="15" customHeight="1" x14ac:dyDescent="0.2">
      <c r="B140" s="681" t="s">
        <v>69</v>
      </c>
      <c r="C140" s="681"/>
      <c r="D140" s="681"/>
      <c r="E140" s="681"/>
      <c r="F140" s="681"/>
      <c r="G140" s="681"/>
      <c r="H140" s="681"/>
      <c r="I140" s="92">
        <f>SUM(I139:I139)</f>
        <v>1166.53</v>
      </c>
    </row>
    <row r="141" spans="2:10" s="128" customFormat="1" ht="30" customHeight="1" x14ac:dyDescent="0.2">
      <c r="B141" s="674" t="s">
        <v>70</v>
      </c>
      <c r="C141" s="674"/>
      <c r="D141" s="674"/>
      <c r="E141" s="674"/>
      <c r="F141" s="674"/>
      <c r="G141" s="674"/>
      <c r="H141" s="674"/>
      <c r="I141" s="674"/>
    </row>
    <row r="142" spans="2:10" s="128" customFormat="1" ht="15" customHeight="1" x14ac:dyDescent="0.2">
      <c r="B142" s="150" t="s">
        <v>59</v>
      </c>
      <c r="C142" s="71" t="s">
        <v>5</v>
      </c>
      <c r="D142" s="47" t="s">
        <v>6</v>
      </c>
      <c r="E142" s="46"/>
      <c r="F142" s="46"/>
      <c r="G142" s="46"/>
      <c r="H142" s="47" t="s">
        <v>71</v>
      </c>
      <c r="I142" s="90" t="s">
        <v>65</v>
      </c>
    </row>
    <row r="143" spans="2:10" s="128" customFormat="1" ht="15" customHeight="1" x14ac:dyDescent="0.2">
      <c r="B143" s="264" t="s">
        <v>80</v>
      </c>
      <c r="C143" s="146" t="s">
        <v>398</v>
      </c>
      <c r="D143" s="49">
        <v>0.25</v>
      </c>
      <c r="E143" s="50"/>
      <c r="F143" s="50"/>
      <c r="G143" s="50"/>
      <c r="H143" s="56">
        <f>INSUMOS!E107</f>
        <v>8.83</v>
      </c>
      <c r="I143" s="87">
        <f>H143*D143</f>
        <v>2.21</v>
      </c>
      <c r="J143" s="265"/>
    </row>
    <row r="144" spans="2:10" s="128" customFormat="1" ht="15" customHeight="1" x14ac:dyDescent="0.2">
      <c r="B144" s="264" t="s">
        <v>81</v>
      </c>
      <c r="C144" s="146" t="s">
        <v>398</v>
      </c>
      <c r="D144" s="49">
        <v>0.25</v>
      </c>
      <c r="E144" s="50"/>
      <c r="F144" s="50"/>
      <c r="G144" s="50"/>
      <c r="H144" s="56">
        <f>INSUMOS!E108</f>
        <v>25.05</v>
      </c>
      <c r="I144" s="87">
        <f>H144*D144</f>
        <v>6.26</v>
      </c>
      <c r="J144" s="265"/>
    </row>
    <row r="145" spans="2:10" s="128" customFormat="1" ht="15" customHeight="1" x14ac:dyDescent="0.2">
      <c r="B145" s="264" t="s">
        <v>82</v>
      </c>
      <c r="C145" s="146" t="s">
        <v>398</v>
      </c>
      <c r="D145" s="49">
        <v>0.25</v>
      </c>
      <c r="E145" s="50"/>
      <c r="F145" s="50"/>
      <c r="G145" s="50"/>
      <c r="H145" s="56">
        <f>INSUMOS!E109</f>
        <v>6.7</v>
      </c>
      <c r="I145" s="87">
        <f>H145*D145</f>
        <v>1.68</v>
      </c>
      <c r="J145" s="265"/>
    </row>
    <row r="146" spans="2:10" s="128" customFormat="1" ht="15" customHeight="1" x14ac:dyDescent="0.2">
      <c r="B146" s="598" t="s">
        <v>69</v>
      </c>
      <c r="C146" s="598"/>
      <c r="D146" s="598"/>
      <c r="E146" s="598"/>
      <c r="F146" s="598"/>
      <c r="G146" s="598"/>
      <c r="H146" s="598"/>
      <c r="I146" s="90">
        <f>SUM(I143:I145)</f>
        <v>10.15</v>
      </c>
    </row>
    <row r="147" spans="2:10" s="128" customFormat="1" ht="30" customHeight="1" x14ac:dyDescent="0.2">
      <c r="B147" s="674" t="s">
        <v>72</v>
      </c>
      <c r="C147" s="674"/>
      <c r="D147" s="674"/>
      <c r="E147" s="674"/>
      <c r="F147" s="674"/>
      <c r="G147" s="674"/>
      <c r="H147" s="674"/>
      <c r="I147" s="674"/>
    </row>
    <row r="148" spans="2:10" ht="14.1" customHeight="1" x14ac:dyDescent="0.2">
      <c r="B148" s="45" t="s">
        <v>59</v>
      </c>
      <c r="C148" s="57" t="s">
        <v>5</v>
      </c>
      <c r="D148" s="47" t="s">
        <v>6</v>
      </c>
      <c r="E148" s="46"/>
      <c r="F148" s="46"/>
      <c r="G148" s="46"/>
      <c r="H148" s="47" t="s">
        <v>71</v>
      </c>
      <c r="I148" s="43" t="s">
        <v>65</v>
      </c>
    </row>
    <row r="149" spans="2:10" ht="14.1" customHeight="1" x14ac:dyDescent="0.2">
      <c r="B149" s="48"/>
      <c r="C149" s="47"/>
      <c r="D149" s="47"/>
      <c r="E149" s="46"/>
      <c r="F149" s="46"/>
      <c r="G149" s="46"/>
      <c r="H149" s="47"/>
      <c r="I149" s="43">
        <f>D149*H149</f>
        <v>0</v>
      </c>
    </row>
    <row r="150" spans="2:10" ht="14.1" customHeight="1" x14ac:dyDescent="0.2">
      <c r="B150" s="598" t="s">
        <v>69</v>
      </c>
      <c r="C150" s="598"/>
      <c r="D150" s="598"/>
      <c r="E150" s="598"/>
      <c r="F150" s="598"/>
      <c r="G150" s="598"/>
      <c r="H150" s="598"/>
      <c r="I150" s="43">
        <f>SUM(I149:I149)</f>
        <v>0</v>
      </c>
    </row>
    <row r="151" spans="2:10" s="128" customFormat="1" ht="30" customHeight="1" x14ac:dyDescent="0.2">
      <c r="B151" s="674" t="s">
        <v>74</v>
      </c>
      <c r="C151" s="674"/>
      <c r="D151" s="674"/>
      <c r="E151" s="674"/>
      <c r="F151" s="674"/>
      <c r="G151" s="674"/>
      <c r="H151" s="674"/>
      <c r="I151" s="674"/>
    </row>
    <row r="152" spans="2:10" ht="15" customHeight="1" x14ac:dyDescent="0.2">
      <c r="B152" s="150" t="s">
        <v>59</v>
      </c>
      <c r="C152" s="71" t="s">
        <v>5</v>
      </c>
      <c r="D152" s="47" t="s">
        <v>6</v>
      </c>
      <c r="E152" s="46"/>
      <c r="F152" s="46"/>
      <c r="G152" s="46"/>
      <c r="H152" s="47" t="s">
        <v>71</v>
      </c>
      <c r="I152" s="90" t="s">
        <v>65</v>
      </c>
    </row>
    <row r="153" spans="2:10" ht="15" customHeight="1" x14ac:dyDescent="0.2">
      <c r="B153" s="91" t="s">
        <v>603</v>
      </c>
      <c r="C153" s="47" t="s">
        <v>67</v>
      </c>
      <c r="D153" s="47">
        <f>4*8</f>
        <v>32</v>
      </c>
      <c r="E153" s="46"/>
      <c r="F153" s="46"/>
      <c r="G153" s="46"/>
      <c r="H153" s="56">
        <f>INSUMOS!E12</f>
        <v>26.19</v>
      </c>
      <c r="I153" s="87">
        <f>D153*H153</f>
        <v>838.08</v>
      </c>
    </row>
    <row r="154" spans="2:10" ht="15" customHeight="1" x14ac:dyDescent="0.2">
      <c r="B154" s="91" t="s">
        <v>84</v>
      </c>
      <c r="C154" s="47" t="s">
        <v>67</v>
      </c>
      <c r="D154" s="47">
        <f>4*8</f>
        <v>32</v>
      </c>
      <c r="E154" s="46"/>
      <c r="F154" s="46"/>
      <c r="G154" s="46"/>
      <c r="H154" s="56">
        <f>INSUMOS!E16</f>
        <v>8.98</v>
      </c>
      <c r="I154" s="87">
        <f>D154*H154</f>
        <v>287.36</v>
      </c>
    </row>
    <row r="155" spans="2:10" ht="15" customHeight="1" x14ac:dyDescent="0.2">
      <c r="B155" s="599" t="s">
        <v>641</v>
      </c>
      <c r="C155" s="599"/>
      <c r="D155" s="599"/>
      <c r="E155" s="599"/>
      <c r="F155" s="599"/>
      <c r="G155" s="599"/>
      <c r="H155" s="599"/>
      <c r="I155" s="90">
        <f>SUM(I153:I154)*0.9103</f>
        <v>1024.49</v>
      </c>
    </row>
    <row r="156" spans="2:10" ht="15" customHeight="1" x14ac:dyDescent="0.2">
      <c r="B156" s="598" t="s">
        <v>69</v>
      </c>
      <c r="C156" s="598"/>
      <c r="D156" s="598"/>
      <c r="E156" s="598"/>
      <c r="F156" s="598"/>
      <c r="G156" s="598"/>
      <c r="H156" s="598"/>
      <c r="I156" s="95">
        <f>SUM(I153:I155)</f>
        <v>2149.9299999999998</v>
      </c>
    </row>
    <row r="157" spans="2:10" ht="15" customHeight="1" x14ac:dyDescent="0.2">
      <c r="B157" s="148" t="s">
        <v>76</v>
      </c>
      <c r="C157" s="149">
        <v>1</v>
      </c>
      <c r="D157" s="686" t="s">
        <v>77</v>
      </c>
      <c r="E157" s="686"/>
      <c r="F157" s="686"/>
      <c r="G157" s="686"/>
      <c r="H157" s="686"/>
      <c r="I157" s="95">
        <f>I156+I150+I146+I140</f>
        <v>3326.61</v>
      </c>
    </row>
    <row r="158" spans="2:10" ht="15" customHeight="1" x14ac:dyDescent="0.2">
      <c r="B158" s="676"/>
      <c r="C158" s="677"/>
      <c r="D158" s="677"/>
      <c r="E158" s="677"/>
      <c r="F158" s="677"/>
      <c r="G158" s="677"/>
      <c r="H158" s="678"/>
      <c r="I158" s="95">
        <f>I157/C157</f>
        <v>3326.61</v>
      </c>
    </row>
    <row r="159" spans="2:10" ht="15" customHeight="1" x14ac:dyDescent="0.2">
      <c r="B159" s="140" t="s">
        <v>346</v>
      </c>
      <c r="C159" s="146">
        <v>25</v>
      </c>
      <c r="D159" s="147" t="s">
        <v>272</v>
      </c>
      <c r="E159" s="137"/>
      <c r="F159" s="137"/>
      <c r="G159" s="137"/>
      <c r="H159" s="138"/>
      <c r="I159" s="90">
        <f>C159/100*I158</f>
        <v>831.65</v>
      </c>
    </row>
    <row r="160" spans="2:10" s="128" customFormat="1" ht="30" customHeight="1" thickBot="1" x14ac:dyDescent="0.25">
      <c r="B160" s="596" t="s">
        <v>78</v>
      </c>
      <c r="C160" s="596"/>
      <c r="D160" s="596"/>
      <c r="E160" s="596"/>
      <c r="F160" s="596"/>
      <c r="G160" s="596"/>
      <c r="H160" s="596"/>
      <c r="I160" s="136">
        <f>SUM(I158:I159)</f>
        <v>4158.26</v>
      </c>
    </row>
    <row r="161" spans="2:10" ht="15.75" customHeight="1" x14ac:dyDescent="0.2"/>
    <row r="162" spans="2:10" ht="15.75" customHeight="1" x14ac:dyDescent="0.2"/>
    <row r="163" spans="2:10" ht="15.75" customHeight="1" x14ac:dyDescent="0.2"/>
    <row r="164" spans="2:10" ht="15.75" customHeight="1" x14ac:dyDescent="0.2"/>
    <row r="165" spans="2:10" ht="15.75" customHeight="1" x14ac:dyDescent="0.2"/>
    <row r="166" spans="2:10" ht="15.75" customHeight="1" thickBot="1" x14ac:dyDescent="0.25"/>
    <row r="167" spans="2:10" s="128" customFormat="1" ht="30" customHeight="1" x14ac:dyDescent="0.2">
      <c r="B167" s="202" t="s">
        <v>55</v>
      </c>
      <c r="C167" s="488" t="str">
        <f>PERFURAÇÃO!B23</f>
        <v>2.1</v>
      </c>
      <c r="D167" s="665" t="s">
        <v>56</v>
      </c>
      <c r="E167" s="665"/>
      <c r="F167" s="665"/>
      <c r="G167" s="665"/>
      <c r="H167" s="665"/>
      <c r="I167" s="665"/>
    </row>
    <row r="168" spans="2:10" s="128" customFormat="1" ht="30" customHeight="1" x14ac:dyDescent="0.2">
      <c r="B168" s="666" t="s">
        <v>344</v>
      </c>
      <c r="C168" s="667"/>
      <c r="D168" s="667"/>
      <c r="E168" s="667"/>
      <c r="F168" s="667"/>
      <c r="G168" s="668"/>
      <c r="H168" s="669" t="s">
        <v>568</v>
      </c>
      <c r="I168" s="670"/>
    </row>
    <row r="169" spans="2:10" s="128" customFormat="1" ht="30" customHeight="1" x14ac:dyDescent="0.2">
      <c r="B169" s="664" t="s">
        <v>93</v>
      </c>
      <c r="C169" s="664"/>
      <c r="D169" s="664"/>
      <c r="E169" s="664"/>
      <c r="F169" s="664"/>
      <c r="G169" s="664"/>
      <c r="H169" s="34" t="s">
        <v>57</v>
      </c>
      <c r="I169" s="127" t="s">
        <v>398</v>
      </c>
    </row>
    <row r="170" spans="2:10" s="128" customFormat="1" ht="30" customHeight="1" x14ac:dyDescent="0.2">
      <c r="B170" s="674" t="s">
        <v>58</v>
      </c>
      <c r="C170" s="674"/>
      <c r="D170" s="674"/>
      <c r="E170" s="674"/>
      <c r="F170" s="674"/>
      <c r="G170" s="674"/>
      <c r="H170" s="674"/>
      <c r="I170" s="674"/>
    </row>
    <row r="171" spans="2:10" ht="25.5" x14ac:dyDescent="0.2">
      <c r="B171" s="150" t="s">
        <v>59</v>
      </c>
      <c r="C171" s="71" t="s">
        <v>5</v>
      </c>
      <c r="D171" s="47" t="s">
        <v>6</v>
      </c>
      <c r="E171" s="47" t="s">
        <v>61</v>
      </c>
      <c r="F171" s="47" t="s">
        <v>62</v>
      </c>
      <c r="G171" s="36" t="s">
        <v>63</v>
      </c>
      <c r="H171" s="36" t="s">
        <v>64</v>
      </c>
      <c r="I171" s="90" t="s">
        <v>65</v>
      </c>
    </row>
    <row r="172" spans="2:10" ht="15.95" customHeight="1" x14ac:dyDescent="0.2">
      <c r="B172" s="125" t="s">
        <v>410</v>
      </c>
      <c r="C172" s="85" t="s">
        <v>67</v>
      </c>
      <c r="D172" s="86">
        <v>5</v>
      </c>
      <c r="E172" s="49">
        <v>1</v>
      </c>
      <c r="F172" s="49"/>
      <c r="G172" s="56">
        <f>INSUMOS!E101</f>
        <v>3.17</v>
      </c>
      <c r="H172" s="49"/>
      <c r="I172" s="87">
        <f>D172*E172*G172+D172*F172*H172</f>
        <v>15.85</v>
      </c>
      <c r="J172" s="51"/>
    </row>
    <row r="173" spans="2:10" ht="15.95" customHeight="1" x14ac:dyDescent="0.2">
      <c r="B173" s="38" t="s">
        <v>68</v>
      </c>
      <c r="C173" s="39" t="s">
        <v>67</v>
      </c>
      <c r="D173" s="39">
        <v>5</v>
      </c>
      <c r="E173" s="40">
        <v>1</v>
      </c>
      <c r="F173" s="40"/>
      <c r="G173" s="56">
        <f>INSUMOS!E87</f>
        <v>8.27</v>
      </c>
      <c r="H173" s="47"/>
      <c r="I173" s="87">
        <f>D173*E173*G173+D173*F173*H173</f>
        <v>41.35</v>
      </c>
    </row>
    <row r="174" spans="2:10" ht="15.95" customHeight="1" x14ac:dyDescent="0.2">
      <c r="B174" s="681" t="s">
        <v>69</v>
      </c>
      <c r="C174" s="681"/>
      <c r="D174" s="681"/>
      <c r="E174" s="681"/>
      <c r="F174" s="681"/>
      <c r="G174" s="681"/>
      <c r="H174" s="681"/>
      <c r="I174" s="95">
        <f>SUM(I172:I173)</f>
        <v>57.2</v>
      </c>
    </row>
    <row r="175" spans="2:10" s="128" customFormat="1" ht="30" customHeight="1" x14ac:dyDescent="0.2">
      <c r="B175" s="674" t="s">
        <v>70</v>
      </c>
      <c r="C175" s="674"/>
      <c r="D175" s="674"/>
      <c r="E175" s="674"/>
      <c r="F175" s="674"/>
      <c r="G175" s="674"/>
      <c r="H175" s="674"/>
      <c r="I175" s="674"/>
    </row>
    <row r="176" spans="2:10" ht="15.95" customHeight="1" x14ac:dyDescent="0.2">
      <c r="B176" s="41" t="s">
        <v>59</v>
      </c>
      <c r="C176" s="57" t="s">
        <v>5</v>
      </c>
      <c r="D176" s="40" t="s">
        <v>6</v>
      </c>
      <c r="E176" s="42"/>
      <c r="F176" s="42"/>
      <c r="G176" s="42"/>
      <c r="H176" s="40" t="s">
        <v>71</v>
      </c>
      <c r="I176" s="43" t="s">
        <v>65</v>
      </c>
    </row>
    <row r="177" spans="2:9" ht="15.95" customHeight="1" x14ac:dyDescent="0.2">
      <c r="B177" s="38" t="s">
        <v>94</v>
      </c>
      <c r="C177" s="88" t="s">
        <v>95</v>
      </c>
      <c r="D177" s="89">
        <v>60</v>
      </c>
      <c r="E177" s="47"/>
      <c r="F177" s="47"/>
      <c r="G177" s="49"/>
      <c r="H177" s="56">
        <v>3.83</v>
      </c>
      <c r="I177" s="87">
        <f>H177*D177</f>
        <v>229.8</v>
      </c>
    </row>
    <row r="178" spans="2:9" ht="15.95" customHeight="1" x14ac:dyDescent="0.2">
      <c r="B178" s="598" t="s">
        <v>69</v>
      </c>
      <c r="C178" s="598"/>
      <c r="D178" s="598"/>
      <c r="E178" s="598"/>
      <c r="F178" s="598"/>
      <c r="G178" s="598"/>
      <c r="H178" s="598"/>
      <c r="I178" s="90">
        <f>SUM(I177:I177)</f>
        <v>229.8</v>
      </c>
    </row>
    <row r="179" spans="2:9" s="128" customFormat="1" ht="30" customHeight="1" x14ac:dyDescent="0.2">
      <c r="B179" s="674" t="s">
        <v>72</v>
      </c>
      <c r="C179" s="674"/>
      <c r="D179" s="674"/>
      <c r="E179" s="674"/>
      <c r="F179" s="674"/>
      <c r="G179" s="674"/>
      <c r="H179" s="674"/>
      <c r="I179" s="674"/>
    </row>
    <row r="180" spans="2:9" ht="15.95" customHeight="1" x14ac:dyDescent="0.2">
      <c r="B180" s="45" t="s">
        <v>59</v>
      </c>
      <c r="C180" s="57" t="s">
        <v>5</v>
      </c>
      <c r="D180" s="47" t="s">
        <v>6</v>
      </c>
      <c r="E180" s="46"/>
      <c r="F180" s="46"/>
      <c r="G180" s="46"/>
      <c r="H180" s="47" t="s">
        <v>71</v>
      </c>
      <c r="I180" s="43" t="s">
        <v>65</v>
      </c>
    </row>
    <row r="181" spans="2:9" ht="15.95" customHeight="1" x14ac:dyDescent="0.2">
      <c r="B181" s="48"/>
      <c r="C181" s="47"/>
      <c r="D181" s="47"/>
      <c r="E181" s="46"/>
      <c r="F181" s="46"/>
      <c r="G181" s="46"/>
      <c r="H181" s="47"/>
      <c r="I181" s="90">
        <f>D181*H181</f>
        <v>0</v>
      </c>
    </row>
    <row r="182" spans="2:9" ht="15.95" customHeight="1" x14ac:dyDescent="0.2">
      <c r="B182" s="598" t="s">
        <v>69</v>
      </c>
      <c r="C182" s="598"/>
      <c r="D182" s="598"/>
      <c r="E182" s="598"/>
      <c r="F182" s="598"/>
      <c r="G182" s="598"/>
      <c r="H182" s="598"/>
      <c r="I182" s="90">
        <f>SUM(I181:I181)</f>
        <v>0</v>
      </c>
    </row>
    <row r="183" spans="2:9" s="128" customFormat="1" ht="30" customHeight="1" x14ac:dyDescent="0.2">
      <c r="B183" s="674" t="s">
        <v>74</v>
      </c>
      <c r="C183" s="674"/>
      <c r="D183" s="674"/>
      <c r="E183" s="674"/>
      <c r="F183" s="674"/>
      <c r="G183" s="674"/>
      <c r="H183" s="674"/>
      <c r="I183" s="674"/>
    </row>
    <row r="184" spans="2:9" ht="15.95" customHeight="1" x14ac:dyDescent="0.2">
      <c r="B184" s="41" t="s">
        <v>59</v>
      </c>
      <c r="C184" s="78" t="s">
        <v>5</v>
      </c>
      <c r="D184" s="40" t="s">
        <v>6</v>
      </c>
      <c r="E184" s="42"/>
      <c r="F184" s="42"/>
      <c r="G184" s="42"/>
      <c r="H184" s="40" t="s">
        <v>71</v>
      </c>
      <c r="I184" s="43" t="s">
        <v>65</v>
      </c>
    </row>
    <row r="185" spans="2:9" ht="15.95" customHeight="1" x14ac:dyDescent="0.2">
      <c r="B185" s="91" t="s">
        <v>96</v>
      </c>
      <c r="C185" s="57" t="s">
        <v>67</v>
      </c>
      <c r="D185" s="40">
        <v>5</v>
      </c>
      <c r="E185" s="42"/>
      <c r="F185" s="42"/>
      <c r="G185" s="42"/>
      <c r="H185" s="52">
        <f>INSUMOS!E11</f>
        <v>48.17</v>
      </c>
      <c r="I185" s="43">
        <f>H185*D185</f>
        <v>240.85</v>
      </c>
    </row>
    <row r="186" spans="2:9" ht="15.95" customHeight="1" x14ac:dyDescent="0.2">
      <c r="B186" s="91" t="s">
        <v>75</v>
      </c>
      <c r="C186" s="57" t="s">
        <v>67</v>
      </c>
      <c r="D186" s="40">
        <v>5</v>
      </c>
      <c r="E186" s="42"/>
      <c r="F186" s="42"/>
      <c r="G186" s="42"/>
      <c r="H186" s="52">
        <f>INSUMOS!E14</f>
        <v>3.42</v>
      </c>
      <c r="I186" s="43">
        <f>H186*D186</f>
        <v>17.100000000000001</v>
      </c>
    </row>
    <row r="187" spans="2:9" ht="15.95" customHeight="1" x14ac:dyDescent="0.2">
      <c r="B187" s="599" t="s">
        <v>641</v>
      </c>
      <c r="C187" s="599"/>
      <c r="D187" s="599"/>
      <c r="E187" s="599"/>
      <c r="F187" s="599"/>
      <c r="G187" s="599"/>
      <c r="H187" s="599"/>
      <c r="I187" s="90">
        <f>SUM(I185:I186)*0.9103</f>
        <v>234.81</v>
      </c>
    </row>
    <row r="188" spans="2:9" ht="15.95" customHeight="1" x14ac:dyDescent="0.2">
      <c r="B188" s="598" t="s">
        <v>69</v>
      </c>
      <c r="C188" s="598"/>
      <c r="D188" s="598"/>
      <c r="E188" s="598"/>
      <c r="F188" s="598"/>
      <c r="G188" s="598"/>
      <c r="H188" s="598"/>
      <c r="I188" s="95">
        <f>SUM(I185:I187)</f>
        <v>492.76</v>
      </c>
    </row>
    <row r="189" spans="2:9" ht="15.95" customHeight="1" x14ac:dyDescent="0.2">
      <c r="B189" s="148" t="s">
        <v>76</v>
      </c>
      <c r="C189" s="149">
        <v>1</v>
      </c>
      <c r="D189" s="671" t="s">
        <v>77</v>
      </c>
      <c r="E189" s="672"/>
      <c r="F189" s="672"/>
      <c r="G189" s="672"/>
      <c r="H189" s="673"/>
      <c r="I189" s="95">
        <f>I188+I182+I178+I174</f>
        <v>779.76</v>
      </c>
    </row>
    <row r="190" spans="2:9" ht="15.95" customHeight="1" x14ac:dyDescent="0.2">
      <c r="B190" s="593"/>
      <c r="C190" s="594"/>
      <c r="D190" s="594"/>
      <c r="E190" s="594"/>
      <c r="F190" s="594"/>
      <c r="G190" s="594"/>
      <c r="H190" s="595"/>
      <c r="I190" s="95">
        <f>I189/C189</f>
        <v>779.76</v>
      </c>
    </row>
    <row r="191" spans="2:9" ht="15.95" customHeight="1" x14ac:dyDescent="0.2">
      <c r="B191" s="140" t="s">
        <v>346</v>
      </c>
      <c r="C191" s="146">
        <v>25</v>
      </c>
      <c r="D191" s="147" t="s">
        <v>272</v>
      </c>
      <c r="E191" s="137"/>
      <c r="F191" s="137"/>
      <c r="G191" s="137"/>
      <c r="H191" s="138"/>
      <c r="I191" s="90">
        <f>C191/100*I190</f>
        <v>194.94</v>
      </c>
    </row>
    <row r="192" spans="2:9" s="128" customFormat="1" ht="30" customHeight="1" thickBot="1" x14ac:dyDescent="0.25">
      <c r="B192" s="596" t="s">
        <v>78</v>
      </c>
      <c r="C192" s="596"/>
      <c r="D192" s="596"/>
      <c r="E192" s="596"/>
      <c r="F192" s="596"/>
      <c r="G192" s="596"/>
      <c r="H192" s="596"/>
      <c r="I192" s="136">
        <f>SUM(I190:I191)</f>
        <v>974.7</v>
      </c>
    </row>
    <row r="200" spans="2:9" s="128" customFormat="1" ht="30" customHeight="1" x14ac:dyDescent="0.2">
      <c r="B200" s="203" t="s">
        <v>55</v>
      </c>
      <c r="C200" s="488" t="str">
        <f>PERFURAÇÃO!B24</f>
        <v>2.2</v>
      </c>
      <c r="D200" s="687" t="s">
        <v>56</v>
      </c>
      <c r="E200" s="687"/>
      <c r="F200" s="687"/>
      <c r="G200" s="687"/>
      <c r="H200" s="687"/>
      <c r="I200" s="687"/>
    </row>
    <row r="201" spans="2:9" s="128" customFormat="1" ht="30" customHeight="1" x14ac:dyDescent="0.2">
      <c r="B201" s="666" t="s">
        <v>344</v>
      </c>
      <c r="C201" s="667"/>
      <c r="D201" s="667"/>
      <c r="E201" s="667"/>
      <c r="F201" s="667"/>
      <c r="G201" s="668"/>
      <c r="H201" s="669" t="s">
        <v>568</v>
      </c>
      <c r="I201" s="670"/>
    </row>
    <row r="202" spans="2:9" s="128" customFormat="1" ht="30" customHeight="1" x14ac:dyDescent="0.2">
      <c r="B202" s="682" t="s">
        <v>92</v>
      </c>
      <c r="C202" s="682"/>
      <c r="D202" s="682"/>
      <c r="E202" s="682"/>
      <c r="F202" s="682"/>
      <c r="G202" s="682"/>
      <c r="H202" s="60" t="s">
        <v>57</v>
      </c>
      <c r="I202" s="61" t="s">
        <v>85</v>
      </c>
    </row>
    <row r="203" spans="2:9" s="128" customFormat="1" ht="30" customHeight="1" x14ac:dyDescent="0.2">
      <c r="B203" s="674" t="s">
        <v>58</v>
      </c>
      <c r="C203" s="674"/>
      <c r="D203" s="674"/>
      <c r="E203" s="674"/>
      <c r="F203" s="674"/>
      <c r="G203" s="674"/>
      <c r="H203" s="674"/>
      <c r="I203" s="674"/>
    </row>
    <row r="204" spans="2:9" ht="25.5" x14ac:dyDescent="0.2">
      <c r="B204" s="150" t="s">
        <v>59</v>
      </c>
      <c r="C204" s="71" t="s">
        <v>5</v>
      </c>
      <c r="D204" s="47" t="s">
        <v>6</v>
      </c>
      <c r="E204" s="47" t="s">
        <v>61</v>
      </c>
      <c r="F204" s="47" t="s">
        <v>62</v>
      </c>
      <c r="G204" s="36" t="s">
        <v>63</v>
      </c>
      <c r="H204" s="36" t="s">
        <v>64</v>
      </c>
      <c r="I204" s="90" t="s">
        <v>65</v>
      </c>
    </row>
    <row r="205" spans="2:9" ht="12.75" customHeight="1" x14ac:dyDescent="0.2">
      <c r="B205" s="38"/>
      <c r="C205" s="39"/>
      <c r="D205" s="141"/>
      <c r="E205" s="40"/>
      <c r="F205" s="40"/>
      <c r="G205" s="58"/>
      <c r="H205" s="40"/>
      <c r="I205" s="100"/>
    </row>
    <row r="206" spans="2:9" ht="12.75" customHeight="1" x14ac:dyDescent="0.2">
      <c r="B206" s="711" t="s">
        <v>69</v>
      </c>
      <c r="C206" s="711"/>
      <c r="D206" s="711"/>
      <c r="E206" s="711"/>
      <c r="F206" s="711"/>
      <c r="G206" s="711"/>
      <c r="H206" s="711"/>
      <c r="I206" s="161">
        <f>SUM(I205:I205)</f>
        <v>0</v>
      </c>
    </row>
    <row r="207" spans="2:9" s="128" customFormat="1" ht="30" customHeight="1" x14ac:dyDescent="0.2">
      <c r="B207" s="683" t="s">
        <v>70</v>
      </c>
      <c r="C207" s="683"/>
      <c r="D207" s="683"/>
      <c r="E207" s="683"/>
      <c r="F207" s="683"/>
      <c r="G207" s="683"/>
      <c r="H207" s="683"/>
      <c r="I207" s="683"/>
    </row>
    <row r="208" spans="2:9" x14ac:dyDescent="0.2">
      <c r="B208" s="62" t="s">
        <v>59</v>
      </c>
      <c r="C208" s="78" t="s">
        <v>5</v>
      </c>
      <c r="D208" s="78" t="s">
        <v>6</v>
      </c>
      <c r="E208" s="79"/>
      <c r="F208" s="79"/>
      <c r="G208" s="79"/>
      <c r="H208" s="78" t="s">
        <v>71</v>
      </c>
      <c r="I208" s="80" t="s">
        <v>65</v>
      </c>
    </row>
    <row r="209" spans="2:11" x14ac:dyDescent="0.2">
      <c r="B209" s="81"/>
      <c r="C209" s="71"/>
      <c r="D209" s="57"/>
      <c r="E209" s="63"/>
      <c r="F209" s="63"/>
      <c r="G209" s="63"/>
      <c r="H209" s="57"/>
      <c r="I209" s="133"/>
    </row>
    <row r="210" spans="2:11" ht="12.75" customHeight="1" x14ac:dyDescent="0.2">
      <c r="B210" s="693" t="s">
        <v>347</v>
      </c>
      <c r="C210" s="693"/>
      <c r="D210" s="693"/>
      <c r="E210" s="693"/>
      <c r="F210" s="693"/>
      <c r="G210" s="693"/>
      <c r="H210" s="693"/>
      <c r="I210" s="135"/>
    </row>
    <row r="211" spans="2:11" s="128" customFormat="1" ht="30" customHeight="1" x14ac:dyDescent="0.2">
      <c r="B211" s="683" t="s">
        <v>72</v>
      </c>
      <c r="C211" s="683"/>
      <c r="D211" s="683"/>
      <c r="E211" s="683"/>
      <c r="F211" s="683"/>
      <c r="G211" s="683"/>
      <c r="H211" s="683"/>
      <c r="I211" s="683"/>
    </row>
    <row r="212" spans="2:11" x14ac:dyDescent="0.2">
      <c r="B212" s="69" t="s">
        <v>59</v>
      </c>
      <c r="C212" s="57" t="s">
        <v>5</v>
      </c>
      <c r="D212" s="71" t="s">
        <v>6</v>
      </c>
      <c r="E212" s="70"/>
      <c r="F212" s="70"/>
      <c r="G212" s="70"/>
      <c r="H212" s="71" t="s">
        <v>71</v>
      </c>
      <c r="I212" s="64" t="s">
        <v>65</v>
      </c>
    </row>
    <row r="213" spans="2:11" x14ac:dyDescent="0.2">
      <c r="B213" s="82"/>
      <c r="C213" s="57"/>
      <c r="D213" s="143"/>
      <c r="E213" s="70"/>
      <c r="F213" s="70"/>
      <c r="G213" s="70"/>
      <c r="H213" s="83"/>
      <c r="I213" s="64"/>
    </row>
    <row r="214" spans="2:11" x14ac:dyDescent="0.2">
      <c r="B214" s="679" t="s">
        <v>69</v>
      </c>
      <c r="C214" s="679"/>
      <c r="D214" s="679"/>
      <c r="E214" s="679"/>
      <c r="F214" s="679"/>
      <c r="G214" s="679"/>
      <c r="H214" s="679"/>
      <c r="I214" s="134"/>
    </row>
    <row r="215" spans="2:11" s="128" customFormat="1" ht="30" customHeight="1" x14ac:dyDescent="0.2">
      <c r="B215" s="683" t="s">
        <v>74</v>
      </c>
      <c r="C215" s="683"/>
      <c r="D215" s="683"/>
      <c r="E215" s="683"/>
      <c r="F215" s="683"/>
      <c r="G215" s="683"/>
      <c r="H215" s="683"/>
      <c r="I215" s="683"/>
    </row>
    <row r="216" spans="2:11" ht="15.95" customHeight="1" x14ac:dyDescent="0.2">
      <c r="B216" s="184" t="s">
        <v>59</v>
      </c>
      <c r="C216" s="71" t="s">
        <v>5</v>
      </c>
      <c r="D216" s="71" t="s">
        <v>6</v>
      </c>
      <c r="E216" s="70"/>
      <c r="F216" s="70"/>
      <c r="G216" s="70"/>
      <c r="H216" s="71" t="s">
        <v>71</v>
      </c>
      <c r="I216" s="126" t="s">
        <v>65</v>
      </c>
    </row>
    <row r="217" spans="2:11" ht="15.95" customHeight="1" x14ac:dyDescent="0.2">
      <c r="B217" s="120" t="s">
        <v>75</v>
      </c>
      <c r="C217" s="71" t="s">
        <v>67</v>
      </c>
      <c r="D217" s="71">
        <v>0.16</v>
      </c>
      <c r="E217" s="70"/>
      <c r="F217" s="70"/>
      <c r="G217" s="70"/>
      <c r="H217" s="75">
        <f>INSUMOS!E14</f>
        <v>3.42</v>
      </c>
      <c r="I217" s="153">
        <f>H217*D217</f>
        <v>0.55000000000000004</v>
      </c>
    </row>
    <row r="218" spans="2:11" ht="15.95" customHeight="1" x14ac:dyDescent="0.2">
      <c r="B218" s="599" t="s">
        <v>641</v>
      </c>
      <c r="C218" s="599"/>
      <c r="D218" s="599"/>
      <c r="E218" s="599"/>
      <c r="F218" s="599"/>
      <c r="G218" s="599"/>
      <c r="H218" s="599"/>
      <c r="I218" s="90">
        <f>I217*0.9103</f>
        <v>0.5</v>
      </c>
    </row>
    <row r="219" spans="2:11" ht="15.95" customHeight="1" x14ac:dyDescent="0.2">
      <c r="B219" s="679" t="s">
        <v>69</v>
      </c>
      <c r="C219" s="679"/>
      <c r="D219" s="679"/>
      <c r="E219" s="679"/>
      <c r="F219" s="679"/>
      <c r="G219" s="679"/>
      <c r="H219" s="679"/>
      <c r="I219" s="185">
        <f>SUM(I217:I218)</f>
        <v>1.05</v>
      </c>
    </row>
    <row r="220" spans="2:11" ht="15.95" customHeight="1" x14ac:dyDescent="0.2">
      <c r="B220" s="148" t="s">
        <v>76</v>
      </c>
      <c r="C220" s="149">
        <v>1</v>
      </c>
      <c r="D220" s="671" t="s">
        <v>77</v>
      </c>
      <c r="E220" s="672"/>
      <c r="F220" s="672"/>
      <c r="G220" s="672"/>
      <c r="H220" s="673"/>
      <c r="I220" s="95">
        <f>I219+I214+I210+I206</f>
        <v>1.05</v>
      </c>
    </row>
    <row r="221" spans="2:11" ht="15.95" customHeight="1" x14ac:dyDescent="0.2">
      <c r="B221" s="593"/>
      <c r="C221" s="594"/>
      <c r="D221" s="594"/>
      <c r="E221" s="594"/>
      <c r="F221" s="594"/>
      <c r="G221" s="594"/>
      <c r="H221" s="595"/>
      <c r="I221" s="95">
        <f>I220/C220</f>
        <v>1.05</v>
      </c>
      <c r="K221" s="33">
        <v>1.75</v>
      </c>
    </row>
    <row r="222" spans="2:11" ht="15.95" customHeight="1" x14ac:dyDescent="0.2">
      <c r="B222" s="140" t="s">
        <v>346</v>
      </c>
      <c r="C222" s="146">
        <v>25</v>
      </c>
      <c r="D222" s="147" t="s">
        <v>272</v>
      </c>
      <c r="E222" s="137"/>
      <c r="F222" s="137"/>
      <c r="G222" s="137"/>
      <c r="H222" s="138"/>
      <c r="I222" s="90">
        <f>C222/100*I221</f>
        <v>0.26</v>
      </c>
    </row>
    <row r="223" spans="2:11" s="128" customFormat="1" ht="30" customHeight="1" thickBot="1" x14ac:dyDescent="0.25">
      <c r="B223" s="684" t="s">
        <v>78</v>
      </c>
      <c r="C223" s="684"/>
      <c r="D223" s="684"/>
      <c r="E223" s="684"/>
      <c r="F223" s="684"/>
      <c r="G223" s="684"/>
      <c r="H223" s="684"/>
      <c r="I223" s="136">
        <f>SUM(I221:I222)</f>
        <v>1.31</v>
      </c>
    </row>
    <row r="230" spans="2:10" ht="13.5" thickBot="1" x14ac:dyDescent="0.25"/>
    <row r="231" spans="2:10" s="128" customFormat="1" ht="30" customHeight="1" x14ac:dyDescent="0.2">
      <c r="B231" s="202" t="s">
        <v>55</v>
      </c>
      <c r="C231" s="488" t="str">
        <f>PERFURAÇÃO!B25</f>
        <v>2.3</v>
      </c>
      <c r="D231" s="665" t="s">
        <v>56</v>
      </c>
      <c r="E231" s="665"/>
      <c r="F231" s="665"/>
      <c r="G231" s="665"/>
      <c r="H231" s="665"/>
      <c r="I231" s="665"/>
    </row>
    <row r="232" spans="2:10" s="128" customFormat="1" ht="30" customHeight="1" x14ac:dyDescent="0.2">
      <c r="B232" s="690" t="s">
        <v>344</v>
      </c>
      <c r="C232" s="691"/>
      <c r="D232" s="691"/>
      <c r="E232" s="691"/>
      <c r="F232" s="691"/>
      <c r="G232" s="692"/>
      <c r="H232" s="688" t="s">
        <v>568</v>
      </c>
      <c r="I232" s="689"/>
    </row>
    <row r="233" spans="2:10" s="128" customFormat="1" ht="30" customHeight="1" x14ac:dyDescent="0.2">
      <c r="B233" s="685" t="s">
        <v>532</v>
      </c>
      <c r="C233" s="685"/>
      <c r="D233" s="685"/>
      <c r="E233" s="685"/>
      <c r="F233" s="685"/>
      <c r="G233" s="685"/>
      <c r="H233" s="316" t="s">
        <v>57</v>
      </c>
      <c r="I233" s="127" t="s">
        <v>398</v>
      </c>
    </row>
    <row r="234" spans="2:10" s="128" customFormat="1" ht="30" customHeight="1" x14ac:dyDescent="0.2">
      <c r="B234" s="597" t="s">
        <v>58</v>
      </c>
      <c r="C234" s="597"/>
      <c r="D234" s="597"/>
      <c r="E234" s="597"/>
      <c r="F234" s="597"/>
      <c r="G234" s="597"/>
      <c r="H234" s="597"/>
      <c r="I234" s="597"/>
    </row>
    <row r="235" spans="2:10" s="93" customFormat="1" ht="25.5" x14ac:dyDescent="0.2">
      <c r="B235" s="35" t="s">
        <v>59</v>
      </c>
      <c r="C235" s="173" t="s">
        <v>5</v>
      </c>
      <c r="D235" s="36" t="s">
        <v>6</v>
      </c>
      <c r="E235" s="36" t="s">
        <v>61</v>
      </c>
      <c r="F235" s="36" t="s">
        <v>62</v>
      </c>
      <c r="G235" s="36" t="s">
        <v>63</v>
      </c>
      <c r="H235" s="36" t="s">
        <v>64</v>
      </c>
      <c r="I235" s="37" t="s">
        <v>65</v>
      </c>
    </row>
    <row r="236" spans="2:10" ht="15.95" customHeight="1" x14ac:dyDescent="0.2">
      <c r="B236" s="84" t="s">
        <v>97</v>
      </c>
      <c r="C236" s="85" t="s">
        <v>67</v>
      </c>
      <c r="D236" s="86">
        <v>8</v>
      </c>
      <c r="E236" s="49">
        <v>1</v>
      </c>
      <c r="F236" s="49"/>
      <c r="G236" s="56">
        <f>INSUMOS!E100</f>
        <v>3.17</v>
      </c>
      <c r="H236" s="49"/>
      <c r="I236" s="87">
        <f>D236*E236*G236+D236*F236*H236</f>
        <v>25.36</v>
      </c>
      <c r="J236" s="51"/>
    </row>
    <row r="237" spans="2:10" ht="15.95" customHeight="1" x14ac:dyDescent="0.2">
      <c r="B237" s="598" t="s">
        <v>69</v>
      </c>
      <c r="C237" s="598"/>
      <c r="D237" s="598"/>
      <c r="E237" s="598"/>
      <c r="F237" s="598"/>
      <c r="G237" s="598"/>
      <c r="H237" s="598"/>
      <c r="I237" s="95">
        <f>SUM(I236:I236)</f>
        <v>25.36</v>
      </c>
    </row>
    <row r="238" spans="2:10" s="128" customFormat="1" ht="30" customHeight="1" x14ac:dyDescent="0.2">
      <c r="B238" s="597" t="s">
        <v>70</v>
      </c>
      <c r="C238" s="597"/>
      <c r="D238" s="597"/>
      <c r="E238" s="597"/>
      <c r="F238" s="597"/>
      <c r="G238" s="597"/>
      <c r="H238" s="597"/>
      <c r="I238" s="597"/>
    </row>
    <row r="239" spans="2:10" ht="15.95" customHeight="1" x14ac:dyDescent="0.2">
      <c r="B239" s="181" t="s">
        <v>59</v>
      </c>
      <c r="C239" s="182" t="s">
        <v>5</v>
      </c>
      <c r="D239" s="47" t="s">
        <v>6</v>
      </c>
      <c r="E239" s="46"/>
      <c r="F239" s="46"/>
      <c r="G239" s="46"/>
      <c r="H239" s="47" t="s">
        <v>71</v>
      </c>
      <c r="I239" s="90" t="s">
        <v>65</v>
      </c>
    </row>
    <row r="240" spans="2:10" ht="15.95" customHeight="1" x14ac:dyDescent="0.2">
      <c r="B240" s="97" t="s">
        <v>98</v>
      </c>
      <c r="C240" s="88" t="s">
        <v>95</v>
      </c>
      <c r="D240" s="89">
        <v>0.1</v>
      </c>
      <c r="E240" s="46"/>
      <c r="F240" s="46"/>
      <c r="G240" s="46"/>
      <c r="H240" s="56">
        <f>INSUMOS!E33</f>
        <v>14.25</v>
      </c>
      <c r="I240" s="90">
        <f>H240*D240</f>
        <v>1.43</v>
      </c>
    </row>
    <row r="241" spans="2:9" ht="15.95" customHeight="1" x14ac:dyDescent="0.2">
      <c r="B241" s="38" t="s">
        <v>99</v>
      </c>
      <c r="C241" s="88" t="s">
        <v>95</v>
      </c>
      <c r="D241" s="89">
        <v>41.45</v>
      </c>
      <c r="E241" s="46"/>
      <c r="F241" s="46"/>
      <c r="G241" s="46"/>
      <c r="H241" s="56">
        <v>2.19</v>
      </c>
      <c r="I241" s="90">
        <f>H241*D241</f>
        <v>90.78</v>
      </c>
    </row>
    <row r="242" spans="2:9" ht="15.95" customHeight="1" x14ac:dyDescent="0.2">
      <c r="B242" s="598" t="s">
        <v>69</v>
      </c>
      <c r="C242" s="598"/>
      <c r="D242" s="598"/>
      <c r="E242" s="598"/>
      <c r="F242" s="598"/>
      <c r="G242" s="598"/>
      <c r="H242" s="598"/>
      <c r="I242" s="90">
        <f>SUM(I240:I241)</f>
        <v>92.21</v>
      </c>
    </row>
    <row r="243" spans="2:9" s="128" customFormat="1" ht="30" customHeight="1" x14ac:dyDescent="0.2">
      <c r="B243" s="597" t="s">
        <v>72</v>
      </c>
      <c r="C243" s="597"/>
      <c r="D243" s="597"/>
      <c r="E243" s="597"/>
      <c r="F243" s="597"/>
      <c r="G243" s="597"/>
      <c r="H243" s="597"/>
      <c r="I243" s="597"/>
    </row>
    <row r="244" spans="2:9" ht="15.95" customHeight="1" x14ac:dyDescent="0.2">
      <c r="B244" s="45" t="s">
        <v>59</v>
      </c>
      <c r="C244" s="57" t="s">
        <v>5</v>
      </c>
      <c r="D244" s="47" t="s">
        <v>6</v>
      </c>
      <c r="E244" s="46"/>
      <c r="F244" s="46"/>
      <c r="G244" s="46"/>
      <c r="H244" s="47" t="s">
        <v>71</v>
      </c>
      <c r="I244" s="43" t="s">
        <v>65</v>
      </c>
    </row>
    <row r="245" spans="2:9" ht="15.95" customHeight="1" x14ac:dyDescent="0.2">
      <c r="B245" s="48"/>
      <c r="C245" s="47"/>
      <c r="D245" s="47"/>
      <c r="E245" s="46"/>
      <c r="F245" s="46"/>
      <c r="G245" s="46"/>
      <c r="H245" s="47"/>
      <c r="I245" s="90">
        <f>D245*H245</f>
        <v>0</v>
      </c>
    </row>
    <row r="246" spans="2:9" ht="15.95" customHeight="1" x14ac:dyDescent="0.2">
      <c r="B246" s="598" t="s">
        <v>69</v>
      </c>
      <c r="C246" s="598"/>
      <c r="D246" s="598"/>
      <c r="E246" s="598"/>
      <c r="F246" s="598"/>
      <c r="G246" s="598"/>
      <c r="H246" s="598"/>
      <c r="I246" s="90">
        <f>SUM(I245:I245)</f>
        <v>0</v>
      </c>
    </row>
    <row r="247" spans="2:9" s="128" customFormat="1" ht="30" customHeight="1" x14ac:dyDescent="0.2">
      <c r="B247" s="597" t="s">
        <v>74</v>
      </c>
      <c r="C247" s="597"/>
      <c r="D247" s="597"/>
      <c r="E247" s="597"/>
      <c r="F247" s="597"/>
      <c r="G247" s="597"/>
      <c r="H247" s="597"/>
      <c r="I247" s="597"/>
    </row>
    <row r="248" spans="2:9" ht="15.95" customHeight="1" x14ac:dyDescent="0.2">
      <c r="B248" s="181" t="s">
        <v>59</v>
      </c>
      <c r="C248" s="182" t="s">
        <v>5</v>
      </c>
      <c r="D248" s="145" t="s">
        <v>6</v>
      </c>
      <c r="E248" s="46"/>
      <c r="F248" s="46"/>
      <c r="G248" s="46"/>
      <c r="H248" s="47" t="s">
        <v>71</v>
      </c>
      <c r="I248" s="90" t="s">
        <v>65</v>
      </c>
    </row>
    <row r="249" spans="2:9" ht="15.95" customHeight="1" x14ac:dyDescent="0.2">
      <c r="B249" s="53" t="s">
        <v>100</v>
      </c>
      <c r="C249" s="71" t="s">
        <v>67</v>
      </c>
      <c r="D249" s="47">
        <v>2</v>
      </c>
      <c r="E249" s="46"/>
      <c r="F249" s="46"/>
      <c r="G249" s="46"/>
      <c r="H249" s="56">
        <f>INSUMOS!E17</f>
        <v>8.52</v>
      </c>
      <c r="I249" s="90">
        <f>H249*D249</f>
        <v>17.04</v>
      </c>
    </row>
    <row r="250" spans="2:9" ht="15.95" customHeight="1" x14ac:dyDescent="0.2">
      <c r="B250" s="91" t="s">
        <v>75</v>
      </c>
      <c r="C250" s="71" t="s">
        <v>67</v>
      </c>
      <c r="D250" s="47">
        <v>5</v>
      </c>
      <c r="E250" s="46"/>
      <c r="F250" s="46"/>
      <c r="G250" s="46"/>
      <c r="H250" s="56">
        <f>INSUMOS!E14</f>
        <v>3.42</v>
      </c>
      <c r="I250" s="90">
        <f>H250*D250</f>
        <v>17.100000000000001</v>
      </c>
    </row>
    <row r="251" spans="2:9" ht="15.95" customHeight="1" x14ac:dyDescent="0.2">
      <c r="B251" s="91" t="s">
        <v>101</v>
      </c>
      <c r="C251" s="71" t="s">
        <v>67</v>
      </c>
      <c r="D251" s="47">
        <v>2</v>
      </c>
      <c r="E251" s="46"/>
      <c r="F251" s="46"/>
      <c r="G251" s="46"/>
      <c r="H251" s="56">
        <f>INSUMOS!E13</f>
        <v>7.51</v>
      </c>
      <c r="I251" s="90">
        <f>H251*D251</f>
        <v>15.02</v>
      </c>
    </row>
    <row r="252" spans="2:9" ht="15.95" customHeight="1" x14ac:dyDescent="0.2">
      <c r="B252" s="599" t="s">
        <v>641</v>
      </c>
      <c r="C252" s="599"/>
      <c r="D252" s="599"/>
      <c r="E252" s="599"/>
      <c r="F252" s="599"/>
      <c r="G252" s="599"/>
      <c r="H252" s="599"/>
      <c r="I252" s="90">
        <f>SUM(I249:I251)*0.9103</f>
        <v>44.75</v>
      </c>
    </row>
    <row r="253" spans="2:9" ht="15.95" customHeight="1" x14ac:dyDescent="0.2">
      <c r="B253" s="598" t="s">
        <v>69</v>
      </c>
      <c r="C253" s="598"/>
      <c r="D253" s="598"/>
      <c r="E253" s="598"/>
      <c r="F253" s="598"/>
      <c r="G253" s="598"/>
      <c r="H253" s="598"/>
      <c r="I253" s="95">
        <f>SUM(I249:I252)</f>
        <v>93.91</v>
      </c>
    </row>
    <row r="254" spans="2:9" ht="15.95" customHeight="1" x14ac:dyDescent="0.2">
      <c r="B254" s="148" t="s">
        <v>76</v>
      </c>
      <c r="C254" s="149">
        <v>1</v>
      </c>
      <c r="D254" s="671" t="s">
        <v>77</v>
      </c>
      <c r="E254" s="672"/>
      <c r="F254" s="672"/>
      <c r="G254" s="672"/>
      <c r="H254" s="673"/>
      <c r="I254" s="95">
        <f>I253+I246+I242+I237</f>
        <v>211.48</v>
      </c>
    </row>
    <row r="255" spans="2:9" ht="15.95" customHeight="1" x14ac:dyDescent="0.2">
      <c r="B255" s="593"/>
      <c r="C255" s="594"/>
      <c r="D255" s="594"/>
      <c r="E255" s="594"/>
      <c r="F255" s="594"/>
      <c r="G255" s="594"/>
      <c r="H255" s="595"/>
      <c r="I255" s="95">
        <f>I254/C254</f>
        <v>211.48</v>
      </c>
    </row>
    <row r="256" spans="2:9" ht="15.95" customHeight="1" x14ac:dyDescent="0.2">
      <c r="B256" s="140" t="s">
        <v>346</v>
      </c>
      <c r="C256" s="146">
        <v>25</v>
      </c>
      <c r="D256" s="147" t="s">
        <v>272</v>
      </c>
      <c r="E256" s="137"/>
      <c r="F256" s="137"/>
      <c r="G256" s="137"/>
      <c r="H256" s="138"/>
      <c r="I256" s="90">
        <f>C256/100*I255</f>
        <v>52.87</v>
      </c>
    </row>
    <row r="257" spans="1:10" s="128" customFormat="1" ht="30" customHeight="1" thickBot="1" x14ac:dyDescent="0.25">
      <c r="B257" s="596" t="s">
        <v>78</v>
      </c>
      <c r="C257" s="596"/>
      <c r="D257" s="596"/>
      <c r="E257" s="596"/>
      <c r="F257" s="596"/>
      <c r="G257" s="596"/>
      <c r="H257" s="596"/>
      <c r="I257" s="136">
        <f>SUM(I255:I256)</f>
        <v>264.35000000000002</v>
      </c>
    </row>
    <row r="264" spans="1:10" ht="13.5" thickBot="1" x14ac:dyDescent="0.25"/>
    <row r="265" spans="1:10" s="128" customFormat="1" ht="30" customHeight="1" x14ac:dyDescent="0.2">
      <c r="B265" s="202" t="s">
        <v>55</v>
      </c>
      <c r="C265" s="488" t="str">
        <f>PERFURAÇÃO!B26</f>
        <v>2.4</v>
      </c>
      <c r="D265" s="665" t="s">
        <v>56</v>
      </c>
      <c r="E265" s="665"/>
      <c r="F265" s="665"/>
      <c r="G265" s="665"/>
      <c r="H265" s="665"/>
      <c r="I265" s="665"/>
    </row>
    <row r="266" spans="1:10" s="128" customFormat="1" ht="30" customHeight="1" x14ac:dyDescent="0.2">
      <c r="B266" s="666" t="s">
        <v>344</v>
      </c>
      <c r="C266" s="667"/>
      <c r="D266" s="667"/>
      <c r="E266" s="667"/>
      <c r="F266" s="667"/>
      <c r="G266" s="668"/>
      <c r="H266" s="669" t="s">
        <v>568</v>
      </c>
      <c r="I266" s="670"/>
    </row>
    <row r="267" spans="1:10" s="128" customFormat="1" ht="30" customHeight="1" x14ac:dyDescent="0.2">
      <c r="B267" s="664" t="s">
        <v>102</v>
      </c>
      <c r="C267" s="664"/>
      <c r="D267" s="664"/>
      <c r="E267" s="664"/>
      <c r="F267" s="664"/>
      <c r="G267" s="664"/>
      <c r="H267" s="34" t="s">
        <v>57</v>
      </c>
      <c r="I267" s="127" t="s">
        <v>27</v>
      </c>
    </row>
    <row r="268" spans="1:10" s="128" customFormat="1" ht="30" customHeight="1" x14ac:dyDescent="0.2">
      <c r="B268" s="597" t="s">
        <v>58</v>
      </c>
      <c r="C268" s="597"/>
      <c r="D268" s="597"/>
      <c r="E268" s="597"/>
      <c r="F268" s="597"/>
      <c r="G268" s="597"/>
      <c r="H268" s="597"/>
      <c r="I268" s="597"/>
    </row>
    <row r="269" spans="1:10" ht="25.5" x14ac:dyDescent="0.2">
      <c r="A269" s="93"/>
      <c r="B269" s="35" t="s">
        <v>59</v>
      </c>
      <c r="C269" s="173" t="s">
        <v>5</v>
      </c>
      <c r="D269" s="36" t="s">
        <v>6</v>
      </c>
      <c r="E269" s="36" t="s">
        <v>61</v>
      </c>
      <c r="F269" s="36" t="s">
        <v>62</v>
      </c>
      <c r="G269" s="36" t="s">
        <v>63</v>
      </c>
      <c r="H269" s="36" t="s">
        <v>64</v>
      </c>
      <c r="I269" s="37" t="s">
        <v>65</v>
      </c>
    </row>
    <row r="270" spans="1:10" ht="15.95" customHeight="1" x14ac:dyDescent="0.2">
      <c r="B270" s="84" t="s">
        <v>97</v>
      </c>
      <c r="C270" s="85" t="s">
        <v>67</v>
      </c>
      <c r="D270" s="86">
        <v>0.7</v>
      </c>
      <c r="E270" s="49">
        <v>1</v>
      </c>
      <c r="F270" s="49"/>
      <c r="G270" s="56">
        <f>INSUMOS!E101</f>
        <v>3.17</v>
      </c>
      <c r="H270" s="49"/>
      <c r="I270" s="87">
        <f>D270*E270*G270+D270*F270*H270</f>
        <v>2.2200000000000002</v>
      </c>
      <c r="J270" s="98"/>
    </row>
    <row r="271" spans="1:10" ht="15.95" customHeight="1" x14ac:dyDescent="0.2">
      <c r="B271" s="97" t="s">
        <v>103</v>
      </c>
      <c r="C271" s="88" t="s">
        <v>67</v>
      </c>
      <c r="D271" s="89">
        <v>0.4</v>
      </c>
      <c r="E271" s="47">
        <v>1</v>
      </c>
      <c r="F271" s="47"/>
      <c r="G271" s="56">
        <f>INSUMOS!E102</f>
        <v>12.39</v>
      </c>
      <c r="H271" s="47"/>
      <c r="I271" s="87">
        <f>D271*E271*G271+D271*F271*H271</f>
        <v>4.96</v>
      </c>
    </row>
    <row r="272" spans="1:10" ht="15.95" customHeight="1" x14ac:dyDescent="0.2">
      <c r="B272" s="598" t="s">
        <v>69</v>
      </c>
      <c r="C272" s="598"/>
      <c r="D272" s="598"/>
      <c r="E272" s="598"/>
      <c r="F272" s="598"/>
      <c r="G272" s="598"/>
      <c r="H272" s="598"/>
      <c r="I272" s="95">
        <f>SUM(I270:I271)</f>
        <v>7.18</v>
      </c>
    </row>
    <row r="273" spans="2:10" s="128" customFormat="1" ht="30" customHeight="1" x14ac:dyDescent="0.2">
      <c r="B273" s="597" t="s">
        <v>70</v>
      </c>
      <c r="C273" s="597"/>
      <c r="D273" s="597"/>
      <c r="E273" s="597"/>
      <c r="F273" s="597"/>
      <c r="G273" s="597"/>
      <c r="H273" s="597"/>
      <c r="I273" s="597"/>
    </row>
    <row r="274" spans="2:10" ht="15.95" customHeight="1" x14ac:dyDescent="0.2">
      <c r="B274" s="96" t="s">
        <v>59</v>
      </c>
      <c r="C274" s="78" t="s">
        <v>5</v>
      </c>
      <c r="D274" s="40" t="s">
        <v>6</v>
      </c>
      <c r="E274" s="42"/>
      <c r="F274" s="42"/>
      <c r="G274" s="42"/>
      <c r="H274" s="40" t="s">
        <v>71</v>
      </c>
      <c r="I274" s="43" t="s">
        <v>65</v>
      </c>
    </row>
    <row r="275" spans="2:10" ht="15.95" customHeight="1" x14ac:dyDescent="0.2">
      <c r="B275" s="84" t="s">
        <v>104</v>
      </c>
      <c r="C275" s="85" t="s">
        <v>95</v>
      </c>
      <c r="D275" s="86">
        <v>0.13</v>
      </c>
      <c r="E275" s="50"/>
      <c r="F275" s="50"/>
      <c r="G275" s="50"/>
      <c r="H275" s="56">
        <f>INSUMOS!E33</f>
        <v>14.25</v>
      </c>
      <c r="I275" s="87">
        <f>H275*D275</f>
        <v>1.85</v>
      </c>
      <c r="J275" s="51"/>
    </row>
    <row r="276" spans="2:10" ht="15.95" customHeight="1" x14ac:dyDescent="0.2">
      <c r="B276" s="84" t="s">
        <v>105</v>
      </c>
      <c r="C276" s="85" t="s">
        <v>88</v>
      </c>
      <c r="D276" s="86">
        <v>0.61</v>
      </c>
      <c r="E276" s="50"/>
      <c r="F276" s="50"/>
      <c r="G276" s="50"/>
      <c r="H276" s="56">
        <v>16.46</v>
      </c>
      <c r="I276" s="87">
        <f>H276*D276</f>
        <v>10.039999999999999</v>
      </c>
      <c r="J276" s="51"/>
    </row>
    <row r="277" spans="2:10" ht="15.95" customHeight="1" x14ac:dyDescent="0.2">
      <c r="B277" s="97" t="s">
        <v>99</v>
      </c>
      <c r="C277" s="88" t="s">
        <v>95</v>
      </c>
      <c r="D277" s="89">
        <v>7</v>
      </c>
      <c r="E277" s="46"/>
      <c r="F277" s="46"/>
      <c r="G277" s="46"/>
      <c r="H277" s="56">
        <v>2.19</v>
      </c>
      <c r="I277" s="90">
        <f>H277*D277</f>
        <v>15.33</v>
      </c>
    </row>
    <row r="278" spans="2:10" ht="15.95" customHeight="1" x14ac:dyDescent="0.2">
      <c r="B278" s="598" t="s">
        <v>69</v>
      </c>
      <c r="C278" s="598"/>
      <c r="D278" s="598"/>
      <c r="E278" s="598"/>
      <c r="F278" s="598"/>
      <c r="G278" s="598"/>
      <c r="H278" s="598"/>
      <c r="I278" s="90">
        <f>SUM(I275:I277)</f>
        <v>27.22</v>
      </c>
    </row>
    <row r="279" spans="2:10" s="128" customFormat="1" ht="30" customHeight="1" x14ac:dyDescent="0.2">
      <c r="B279" s="597" t="s">
        <v>72</v>
      </c>
      <c r="C279" s="597"/>
      <c r="D279" s="597"/>
      <c r="E279" s="597"/>
      <c r="F279" s="597"/>
      <c r="G279" s="597"/>
      <c r="H279" s="597"/>
      <c r="I279" s="597"/>
    </row>
    <row r="280" spans="2:10" ht="15.95" customHeight="1" x14ac:dyDescent="0.2">
      <c r="B280" s="45" t="s">
        <v>59</v>
      </c>
      <c r="C280" s="57" t="s">
        <v>5</v>
      </c>
      <c r="D280" s="47" t="s">
        <v>6</v>
      </c>
      <c r="E280" s="46"/>
      <c r="F280" s="46"/>
      <c r="G280" s="46"/>
      <c r="H280" s="47" t="s">
        <v>71</v>
      </c>
      <c r="I280" s="43" t="s">
        <v>65</v>
      </c>
    </row>
    <row r="281" spans="2:10" ht="15.95" customHeight="1" x14ac:dyDescent="0.2">
      <c r="B281" s="48"/>
      <c r="C281" s="47"/>
      <c r="D281" s="47"/>
      <c r="E281" s="46"/>
      <c r="F281" s="46"/>
      <c r="G281" s="46"/>
      <c r="H281" s="47"/>
      <c r="I281" s="90">
        <f>D281*H281</f>
        <v>0</v>
      </c>
    </row>
    <row r="282" spans="2:10" ht="15.95" customHeight="1" x14ac:dyDescent="0.2">
      <c r="B282" s="598" t="s">
        <v>69</v>
      </c>
      <c r="C282" s="598"/>
      <c r="D282" s="598"/>
      <c r="E282" s="598"/>
      <c r="F282" s="598"/>
      <c r="G282" s="598"/>
      <c r="H282" s="598"/>
      <c r="I282" s="90">
        <f>SUM(I281:I281)</f>
        <v>0</v>
      </c>
    </row>
    <row r="283" spans="2:10" s="128" customFormat="1" ht="30" customHeight="1" x14ac:dyDescent="0.2">
      <c r="B283" s="597" t="s">
        <v>74</v>
      </c>
      <c r="C283" s="597"/>
      <c r="D283" s="597"/>
      <c r="E283" s="597"/>
      <c r="F283" s="597"/>
      <c r="G283" s="597"/>
      <c r="H283" s="597"/>
      <c r="I283" s="597"/>
    </row>
    <row r="284" spans="2:10" ht="15.95" customHeight="1" x14ac:dyDescent="0.2">
      <c r="B284" s="96" t="s">
        <v>59</v>
      </c>
      <c r="C284" s="78" t="s">
        <v>5</v>
      </c>
      <c r="D284" s="110" t="s">
        <v>6</v>
      </c>
      <c r="E284" s="42"/>
      <c r="F284" s="42"/>
      <c r="G284" s="42"/>
      <c r="H284" s="40" t="s">
        <v>71</v>
      </c>
      <c r="I284" s="43" t="s">
        <v>65</v>
      </c>
    </row>
    <row r="285" spans="2:10" ht="15.95" customHeight="1" x14ac:dyDescent="0.2">
      <c r="B285" s="53" t="s">
        <v>100</v>
      </c>
      <c r="C285" s="71" t="s">
        <v>67</v>
      </c>
      <c r="D285" s="47">
        <v>2.2999999999999998</v>
      </c>
      <c r="E285" s="46"/>
      <c r="F285" s="46"/>
      <c r="G285" s="46"/>
      <c r="H285" s="56">
        <f>INSUMOS!E17</f>
        <v>8.52</v>
      </c>
      <c r="I285" s="90">
        <f>H285*D285</f>
        <v>19.600000000000001</v>
      </c>
    </row>
    <row r="286" spans="2:10" ht="15.95" customHeight="1" x14ac:dyDescent="0.2">
      <c r="B286" s="91" t="s">
        <v>75</v>
      </c>
      <c r="C286" s="71" t="s">
        <v>67</v>
      </c>
      <c r="D286" s="47">
        <v>0.38</v>
      </c>
      <c r="E286" s="46"/>
      <c r="F286" s="46"/>
      <c r="G286" s="46"/>
      <c r="H286" s="56">
        <f>INSUMOS!E14</f>
        <v>3.42</v>
      </c>
      <c r="I286" s="90">
        <f>H286*D286</f>
        <v>1.3</v>
      </c>
    </row>
    <row r="287" spans="2:10" ht="15.95" customHeight="1" x14ac:dyDescent="0.2">
      <c r="B287" s="91" t="s">
        <v>106</v>
      </c>
      <c r="C287" s="71" t="s">
        <v>67</v>
      </c>
      <c r="D287" s="47">
        <v>2</v>
      </c>
      <c r="E287" s="46"/>
      <c r="F287" s="46"/>
      <c r="G287" s="46"/>
      <c r="H287" s="56">
        <f>INSUMOS!E22</f>
        <v>8.76</v>
      </c>
      <c r="I287" s="90">
        <f>H287*D287</f>
        <v>17.52</v>
      </c>
    </row>
    <row r="288" spans="2:10" ht="15.95" customHeight="1" x14ac:dyDescent="0.2">
      <c r="B288" s="599" t="s">
        <v>641</v>
      </c>
      <c r="C288" s="599"/>
      <c r="D288" s="599"/>
      <c r="E288" s="599"/>
      <c r="F288" s="599"/>
      <c r="G288" s="599"/>
      <c r="H288" s="599"/>
      <c r="I288" s="90">
        <f>SUM(I285:I287)*0.9103</f>
        <v>34.97</v>
      </c>
    </row>
    <row r="289" spans="1:9" ht="15.95" customHeight="1" x14ac:dyDescent="0.2">
      <c r="B289" s="598" t="s">
        <v>69</v>
      </c>
      <c r="C289" s="598"/>
      <c r="D289" s="598"/>
      <c r="E289" s="598"/>
      <c r="F289" s="598"/>
      <c r="G289" s="598"/>
      <c r="H289" s="598"/>
      <c r="I289" s="95">
        <f>SUM(I285:I288)</f>
        <v>73.39</v>
      </c>
    </row>
    <row r="290" spans="1:9" ht="15.95" customHeight="1" x14ac:dyDescent="0.2">
      <c r="B290" s="148" t="s">
        <v>76</v>
      </c>
      <c r="C290" s="149">
        <v>1</v>
      </c>
      <c r="D290" s="671" t="s">
        <v>77</v>
      </c>
      <c r="E290" s="672"/>
      <c r="F290" s="672"/>
      <c r="G290" s="672"/>
      <c r="H290" s="673"/>
      <c r="I290" s="95">
        <f>I289+I282+I278+I272</f>
        <v>107.79</v>
      </c>
    </row>
    <row r="291" spans="1:9" ht="15.95" customHeight="1" x14ac:dyDescent="0.2">
      <c r="B291" s="593"/>
      <c r="C291" s="594"/>
      <c r="D291" s="594"/>
      <c r="E291" s="594"/>
      <c r="F291" s="594"/>
      <c r="G291" s="594"/>
      <c r="H291" s="595"/>
      <c r="I291" s="95">
        <f>I290/C290</f>
        <v>107.79</v>
      </c>
    </row>
    <row r="292" spans="1:9" ht="15.95" customHeight="1" x14ac:dyDescent="0.2">
      <c r="B292" s="140" t="s">
        <v>346</v>
      </c>
      <c r="C292" s="146">
        <v>25</v>
      </c>
      <c r="D292" s="147" t="s">
        <v>272</v>
      </c>
      <c r="E292" s="137"/>
      <c r="F292" s="137"/>
      <c r="G292" s="137"/>
      <c r="H292" s="138"/>
      <c r="I292" s="90">
        <f>C292/100*I291</f>
        <v>26.95</v>
      </c>
    </row>
    <row r="293" spans="1:9" s="128" customFormat="1" ht="30" customHeight="1" thickBot="1" x14ac:dyDescent="0.25">
      <c r="B293" s="596" t="s">
        <v>78</v>
      </c>
      <c r="C293" s="596"/>
      <c r="D293" s="596"/>
      <c r="E293" s="596"/>
      <c r="F293" s="596"/>
      <c r="G293" s="596"/>
      <c r="H293" s="596"/>
      <c r="I293" s="136">
        <f>SUM(I291:I292)</f>
        <v>134.74</v>
      </c>
    </row>
    <row r="300" spans="1:9" s="128" customFormat="1" ht="30" customHeight="1" x14ac:dyDescent="0.2">
      <c r="B300" s="202" t="s">
        <v>55</v>
      </c>
      <c r="C300" s="488" t="str">
        <f>PERFURAÇÃO!B27</f>
        <v>2.5</v>
      </c>
      <c r="D300" s="665" t="s">
        <v>56</v>
      </c>
      <c r="E300" s="665"/>
      <c r="F300" s="665"/>
      <c r="G300" s="665"/>
      <c r="H300" s="665"/>
      <c r="I300" s="665"/>
    </row>
    <row r="301" spans="1:9" s="128" customFormat="1" ht="30" customHeight="1" x14ac:dyDescent="0.2">
      <c r="B301" s="666" t="s">
        <v>344</v>
      </c>
      <c r="C301" s="667"/>
      <c r="D301" s="667"/>
      <c r="E301" s="667"/>
      <c r="F301" s="667"/>
      <c r="G301" s="668"/>
      <c r="H301" s="669" t="s">
        <v>568</v>
      </c>
      <c r="I301" s="670"/>
    </row>
    <row r="302" spans="1:9" s="128" customFormat="1" ht="30" customHeight="1" x14ac:dyDescent="0.2">
      <c r="B302" s="664" t="s">
        <v>107</v>
      </c>
      <c r="C302" s="664"/>
      <c r="D302" s="664"/>
      <c r="E302" s="664"/>
      <c r="F302" s="664"/>
      <c r="G302" s="664"/>
      <c r="H302" s="34" t="s">
        <v>57</v>
      </c>
      <c r="I302" s="127" t="s">
        <v>27</v>
      </c>
    </row>
    <row r="303" spans="1:9" s="128" customFormat="1" ht="30" customHeight="1" x14ac:dyDescent="0.2">
      <c r="B303" s="597" t="s">
        <v>58</v>
      </c>
      <c r="C303" s="597"/>
      <c r="D303" s="597"/>
      <c r="E303" s="597"/>
      <c r="F303" s="597"/>
      <c r="G303" s="597"/>
      <c r="H303" s="597"/>
      <c r="I303" s="597"/>
    </row>
    <row r="304" spans="1:9" ht="25.5" x14ac:dyDescent="0.2">
      <c r="A304" s="93"/>
      <c r="B304" s="35" t="s">
        <v>59</v>
      </c>
      <c r="C304" s="173" t="s">
        <v>5</v>
      </c>
      <c r="D304" s="36" t="s">
        <v>6</v>
      </c>
      <c r="E304" s="36" t="s">
        <v>61</v>
      </c>
      <c r="F304" s="36" t="s">
        <v>62</v>
      </c>
      <c r="G304" s="36" t="s">
        <v>63</v>
      </c>
      <c r="H304" s="36" t="s">
        <v>64</v>
      </c>
      <c r="I304" s="37" t="s">
        <v>65</v>
      </c>
    </row>
    <row r="305" spans="1:10" ht="15.95" customHeight="1" x14ac:dyDescent="0.2">
      <c r="A305" s="93"/>
      <c r="B305" s="97" t="s">
        <v>103</v>
      </c>
      <c r="C305" s="39" t="s">
        <v>67</v>
      </c>
      <c r="D305" s="141">
        <v>0.4</v>
      </c>
      <c r="E305" s="40">
        <v>1</v>
      </c>
      <c r="F305" s="40"/>
      <c r="G305" s="56">
        <f>INSUMOS!E102</f>
        <v>12.39</v>
      </c>
      <c r="H305" s="40"/>
      <c r="I305" s="87">
        <f>D305*E305*G305+D305*F305*H305</f>
        <v>4.96</v>
      </c>
    </row>
    <row r="306" spans="1:10" ht="15.95" customHeight="1" x14ac:dyDescent="0.2">
      <c r="B306" s="97" t="s">
        <v>97</v>
      </c>
      <c r="C306" s="39" t="s">
        <v>67</v>
      </c>
      <c r="D306" s="141">
        <v>0.48</v>
      </c>
      <c r="E306" s="40">
        <v>1</v>
      </c>
      <c r="F306" s="40"/>
      <c r="G306" s="56">
        <f>INSUMOS!E101</f>
        <v>3.17</v>
      </c>
      <c r="H306" s="40"/>
      <c r="I306" s="87">
        <f>D306*E306*G306+D306*F306*H306</f>
        <v>1.52</v>
      </c>
    </row>
    <row r="307" spans="1:10" ht="15.95" customHeight="1" x14ac:dyDescent="0.2">
      <c r="B307" s="598" t="s">
        <v>69</v>
      </c>
      <c r="C307" s="598"/>
      <c r="D307" s="598"/>
      <c r="E307" s="598"/>
      <c r="F307" s="598"/>
      <c r="G307" s="598"/>
      <c r="H307" s="598"/>
      <c r="I307" s="95">
        <f>SUM(I305:I306)</f>
        <v>6.48</v>
      </c>
    </row>
    <row r="308" spans="1:10" s="128" customFormat="1" ht="30" customHeight="1" x14ac:dyDescent="0.2">
      <c r="B308" s="597" t="s">
        <v>70</v>
      </c>
      <c r="C308" s="597"/>
      <c r="D308" s="597"/>
      <c r="E308" s="597"/>
      <c r="F308" s="597"/>
      <c r="G308" s="597"/>
      <c r="H308" s="597"/>
      <c r="I308" s="597"/>
    </row>
    <row r="309" spans="1:10" ht="15.95" customHeight="1" x14ac:dyDescent="0.2">
      <c r="B309" s="96" t="s">
        <v>59</v>
      </c>
      <c r="C309" s="78" t="s">
        <v>5</v>
      </c>
      <c r="D309" s="40" t="s">
        <v>6</v>
      </c>
      <c r="E309" s="42"/>
      <c r="F309" s="42"/>
      <c r="G309" s="42"/>
      <c r="H309" s="40" t="s">
        <v>71</v>
      </c>
      <c r="I309" s="43" t="s">
        <v>65</v>
      </c>
    </row>
    <row r="310" spans="1:10" ht="15.95" customHeight="1" x14ac:dyDescent="0.2">
      <c r="B310" s="84" t="s">
        <v>104</v>
      </c>
      <c r="C310" s="94" t="s">
        <v>95</v>
      </c>
      <c r="D310" s="144">
        <v>0.14000000000000001</v>
      </c>
      <c r="E310" s="59"/>
      <c r="F310" s="59"/>
      <c r="G310" s="59"/>
      <c r="H310" s="52">
        <f>INSUMOS!E33</f>
        <v>14.25</v>
      </c>
      <c r="I310" s="87">
        <f>H310*D310</f>
        <v>2</v>
      </c>
      <c r="J310" s="51"/>
    </row>
    <row r="311" spans="1:10" ht="15.95" customHeight="1" x14ac:dyDescent="0.2">
      <c r="B311" s="84" t="s">
        <v>105</v>
      </c>
      <c r="C311" s="94" t="s">
        <v>88</v>
      </c>
      <c r="D311" s="144">
        <v>0.09</v>
      </c>
      <c r="E311" s="59"/>
      <c r="F311" s="59"/>
      <c r="G311" s="59"/>
      <c r="H311" s="52">
        <v>14.37</v>
      </c>
      <c r="I311" s="87">
        <f>H311*D311</f>
        <v>1.29</v>
      </c>
      <c r="J311" s="51"/>
    </row>
    <row r="312" spans="1:10" ht="15.95" customHeight="1" x14ac:dyDescent="0.2">
      <c r="B312" s="97" t="s">
        <v>99</v>
      </c>
      <c r="C312" s="39" t="s">
        <v>95</v>
      </c>
      <c r="D312" s="141">
        <v>7.5</v>
      </c>
      <c r="E312" s="42"/>
      <c r="F312" s="42"/>
      <c r="G312" s="42"/>
      <c r="H312" s="52">
        <f>INSUMOS!E32</f>
        <v>2.38</v>
      </c>
      <c r="I312" s="90">
        <f>H312*D312</f>
        <v>17.850000000000001</v>
      </c>
    </row>
    <row r="313" spans="1:10" ht="15.95" customHeight="1" x14ac:dyDescent="0.2">
      <c r="B313" s="598" t="s">
        <v>69</v>
      </c>
      <c r="C313" s="598"/>
      <c r="D313" s="598"/>
      <c r="E313" s="598"/>
      <c r="F313" s="598"/>
      <c r="G313" s="598"/>
      <c r="H313" s="598"/>
      <c r="I313" s="90">
        <f>SUM(I310:I312)</f>
        <v>21.14</v>
      </c>
    </row>
    <row r="314" spans="1:10" s="128" customFormat="1" ht="30" customHeight="1" x14ac:dyDescent="0.2">
      <c r="B314" s="597" t="s">
        <v>72</v>
      </c>
      <c r="C314" s="597"/>
      <c r="D314" s="597"/>
      <c r="E314" s="597"/>
      <c r="F314" s="597"/>
      <c r="G314" s="597"/>
      <c r="H314" s="597"/>
      <c r="I314" s="597"/>
    </row>
    <row r="315" spans="1:10" ht="15.95" customHeight="1" x14ac:dyDescent="0.2">
      <c r="B315" s="45" t="s">
        <v>59</v>
      </c>
      <c r="C315" s="57" t="s">
        <v>5</v>
      </c>
      <c r="D315" s="47" t="s">
        <v>6</v>
      </c>
      <c r="E315" s="46"/>
      <c r="F315" s="46"/>
      <c r="G315" s="46"/>
      <c r="H315" s="47" t="s">
        <v>71</v>
      </c>
      <c r="I315" s="43" t="s">
        <v>65</v>
      </c>
    </row>
    <row r="316" spans="1:10" ht="15.95" customHeight="1" x14ac:dyDescent="0.2">
      <c r="B316" s="48"/>
      <c r="C316" s="47"/>
      <c r="D316" s="47"/>
      <c r="E316" s="46"/>
      <c r="F316" s="46"/>
      <c r="G316" s="46"/>
      <c r="H316" s="47"/>
      <c r="I316" s="90">
        <f>D316*H316</f>
        <v>0</v>
      </c>
    </row>
    <row r="317" spans="1:10" ht="15.95" customHeight="1" x14ac:dyDescent="0.2">
      <c r="B317" s="598" t="s">
        <v>69</v>
      </c>
      <c r="C317" s="598"/>
      <c r="D317" s="598"/>
      <c r="E317" s="598"/>
      <c r="F317" s="598"/>
      <c r="G317" s="598"/>
      <c r="H317" s="598"/>
      <c r="I317" s="90">
        <f>SUM(I316:I316)</f>
        <v>0</v>
      </c>
    </row>
    <row r="318" spans="1:10" s="128" customFormat="1" ht="30" customHeight="1" x14ac:dyDescent="0.2">
      <c r="B318" s="597" t="s">
        <v>74</v>
      </c>
      <c r="C318" s="597"/>
      <c r="D318" s="597"/>
      <c r="E318" s="597"/>
      <c r="F318" s="597"/>
      <c r="G318" s="597"/>
      <c r="H318" s="597"/>
      <c r="I318" s="597"/>
    </row>
    <row r="319" spans="1:10" ht="15.95" customHeight="1" x14ac:dyDescent="0.2">
      <c r="B319" s="96" t="s">
        <v>59</v>
      </c>
      <c r="C319" s="78" t="s">
        <v>5</v>
      </c>
      <c r="D319" s="110" t="s">
        <v>6</v>
      </c>
      <c r="E319" s="42"/>
      <c r="F319" s="42"/>
      <c r="G319" s="42"/>
      <c r="H319" s="40" t="s">
        <v>71</v>
      </c>
      <c r="I319" s="43" t="s">
        <v>65</v>
      </c>
    </row>
    <row r="320" spans="1:10" ht="15.95" customHeight="1" x14ac:dyDescent="0.2">
      <c r="B320" s="53" t="s">
        <v>100</v>
      </c>
      <c r="C320" s="71" t="s">
        <v>67</v>
      </c>
      <c r="D320" s="47">
        <v>2</v>
      </c>
      <c r="E320" s="46"/>
      <c r="F320" s="46"/>
      <c r="G320" s="46"/>
      <c r="H320" s="56">
        <f>INSUMOS!E17</f>
        <v>8.52</v>
      </c>
      <c r="I320" s="90">
        <f>H320*D320</f>
        <v>17.04</v>
      </c>
    </row>
    <row r="321" spans="2:9" ht="15.95" customHeight="1" x14ac:dyDescent="0.2">
      <c r="B321" s="91" t="s">
        <v>75</v>
      </c>
      <c r="C321" s="71" t="s">
        <v>67</v>
      </c>
      <c r="D321" s="47">
        <v>0.35</v>
      </c>
      <c r="E321" s="46"/>
      <c r="F321" s="46"/>
      <c r="G321" s="46"/>
      <c r="H321" s="56">
        <f>INSUMOS!E14</f>
        <v>3.42</v>
      </c>
      <c r="I321" s="90">
        <f>H321*D321</f>
        <v>1.2</v>
      </c>
    </row>
    <row r="322" spans="2:9" ht="15.95" customHeight="1" x14ac:dyDescent="0.2">
      <c r="B322" s="91" t="s">
        <v>106</v>
      </c>
      <c r="C322" s="71" t="s">
        <v>67</v>
      </c>
      <c r="D322" s="47">
        <v>1.95</v>
      </c>
      <c r="E322" s="46"/>
      <c r="F322" s="46"/>
      <c r="G322" s="46"/>
      <c r="H322" s="56">
        <f>INSUMOS!E22</f>
        <v>8.76</v>
      </c>
      <c r="I322" s="90">
        <f>H322*D322</f>
        <v>17.079999999999998</v>
      </c>
    </row>
    <row r="323" spans="2:9" ht="15.95" customHeight="1" x14ac:dyDescent="0.2">
      <c r="B323" s="599" t="s">
        <v>641</v>
      </c>
      <c r="C323" s="599"/>
      <c r="D323" s="599"/>
      <c r="E323" s="599"/>
      <c r="F323" s="599"/>
      <c r="G323" s="599"/>
      <c r="H323" s="599"/>
      <c r="I323" s="90">
        <f>SUM(I320:I322)*0.9103</f>
        <v>32.15</v>
      </c>
    </row>
    <row r="324" spans="2:9" ht="15.95" customHeight="1" x14ac:dyDescent="0.2">
      <c r="B324" s="598" t="s">
        <v>69</v>
      </c>
      <c r="C324" s="598"/>
      <c r="D324" s="598"/>
      <c r="E324" s="598"/>
      <c r="F324" s="598"/>
      <c r="G324" s="598"/>
      <c r="H324" s="598"/>
      <c r="I324" s="92">
        <f>SUM(I320:I323)</f>
        <v>67.47</v>
      </c>
    </row>
    <row r="325" spans="2:9" ht="15.95" customHeight="1" x14ac:dyDescent="0.2">
      <c r="B325" s="148" t="s">
        <v>76</v>
      </c>
      <c r="C325" s="149">
        <v>1</v>
      </c>
      <c r="D325" s="671" t="s">
        <v>77</v>
      </c>
      <c r="E325" s="672"/>
      <c r="F325" s="672"/>
      <c r="G325" s="672"/>
      <c r="H325" s="673"/>
      <c r="I325" s="92">
        <f>I324+I317+I313+I307</f>
        <v>95.09</v>
      </c>
    </row>
    <row r="326" spans="2:9" ht="15.95" customHeight="1" x14ac:dyDescent="0.2">
      <c r="B326" s="593"/>
      <c r="C326" s="594"/>
      <c r="D326" s="594"/>
      <c r="E326" s="594"/>
      <c r="F326" s="594"/>
      <c r="G326" s="594"/>
      <c r="H326" s="595"/>
      <c r="I326" s="92">
        <f>I325/C325</f>
        <v>95.09</v>
      </c>
    </row>
    <row r="327" spans="2:9" ht="15.95" customHeight="1" x14ac:dyDescent="0.2">
      <c r="B327" s="140" t="s">
        <v>346</v>
      </c>
      <c r="C327" s="146">
        <v>25</v>
      </c>
      <c r="D327" s="147" t="s">
        <v>272</v>
      </c>
      <c r="E327" s="137"/>
      <c r="F327" s="137"/>
      <c r="G327" s="137"/>
      <c r="H327" s="138"/>
      <c r="I327" s="90">
        <f>C327/100*I326</f>
        <v>23.77</v>
      </c>
    </row>
    <row r="328" spans="2:9" s="128" customFormat="1" ht="30" customHeight="1" thickBot="1" x14ac:dyDescent="0.25">
      <c r="B328" s="596" t="s">
        <v>78</v>
      </c>
      <c r="C328" s="596"/>
      <c r="D328" s="596"/>
      <c r="E328" s="596"/>
      <c r="F328" s="596"/>
      <c r="G328" s="596"/>
      <c r="H328" s="596"/>
      <c r="I328" s="136">
        <f>SUM(I326:I327)</f>
        <v>118.86</v>
      </c>
    </row>
    <row r="334" spans="2:9" ht="13.5" thickBot="1" x14ac:dyDescent="0.25"/>
    <row r="335" spans="2:9" s="128" customFormat="1" ht="30" customHeight="1" x14ac:dyDescent="0.2">
      <c r="B335" s="202" t="s">
        <v>55</v>
      </c>
      <c r="C335" s="488" t="str">
        <f>PERFURAÇÃO!B28</f>
        <v>2.6</v>
      </c>
      <c r="D335" s="665" t="s">
        <v>56</v>
      </c>
      <c r="E335" s="665"/>
      <c r="F335" s="665"/>
      <c r="G335" s="665"/>
      <c r="H335" s="665"/>
      <c r="I335" s="665"/>
    </row>
    <row r="336" spans="2:9" s="128" customFormat="1" ht="30" customHeight="1" x14ac:dyDescent="0.2">
      <c r="B336" s="666" t="s">
        <v>344</v>
      </c>
      <c r="C336" s="667"/>
      <c r="D336" s="667"/>
      <c r="E336" s="667"/>
      <c r="F336" s="667"/>
      <c r="G336" s="668"/>
      <c r="H336" s="669" t="s">
        <v>568</v>
      </c>
      <c r="I336" s="670"/>
    </row>
    <row r="337" spans="1:9" s="128" customFormat="1" ht="30" customHeight="1" x14ac:dyDescent="0.2">
      <c r="B337" s="664" t="s">
        <v>431</v>
      </c>
      <c r="C337" s="664"/>
      <c r="D337" s="664"/>
      <c r="E337" s="664"/>
      <c r="F337" s="664"/>
      <c r="G337" s="664"/>
      <c r="H337" s="34" t="s">
        <v>57</v>
      </c>
      <c r="I337" s="127" t="s">
        <v>27</v>
      </c>
    </row>
    <row r="338" spans="1:9" s="128" customFormat="1" ht="30" customHeight="1" x14ac:dyDescent="0.2">
      <c r="B338" s="597" t="s">
        <v>58</v>
      </c>
      <c r="C338" s="597"/>
      <c r="D338" s="597"/>
      <c r="E338" s="597"/>
      <c r="F338" s="597"/>
      <c r="G338" s="597"/>
      <c r="H338" s="597"/>
      <c r="I338" s="597"/>
    </row>
    <row r="339" spans="1:9" ht="25.5" x14ac:dyDescent="0.2">
      <c r="A339" s="93"/>
      <c r="B339" s="35" t="s">
        <v>59</v>
      </c>
      <c r="C339" s="173" t="s">
        <v>5</v>
      </c>
      <c r="D339" s="36" t="s">
        <v>6</v>
      </c>
      <c r="E339" s="36" t="s">
        <v>61</v>
      </c>
      <c r="F339" s="36" t="s">
        <v>62</v>
      </c>
      <c r="G339" s="36" t="s">
        <v>63</v>
      </c>
      <c r="H339" s="36" t="s">
        <v>64</v>
      </c>
      <c r="I339" s="37" t="s">
        <v>65</v>
      </c>
    </row>
    <row r="340" spans="1:9" ht="15.95" customHeight="1" x14ac:dyDescent="0.2">
      <c r="B340" s="97"/>
      <c r="C340" s="39"/>
      <c r="D340" s="141"/>
      <c r="E340" s="40"/>
      <c r="F340" s="40"/>
      <c r="G340" s="40"/>
      <c r="H340" s="40"/>
      <c r="I340" s="87">
        <f>D340*E340*G340+D340*F340*H340</f>
        <v>0</v>
      </c>
    </row>
    <row r="341" spans="1:9" ht="15.95" customHeight="1" x14ac:dyDescent="0.2">
      <c r="B341" s="598" t="s">
        <v>69</v>
      </c>
      <c r="C341" s="598"/>
      <c r="D341" s="598"/>
      <c r="E341" s="598"/>
      <c r="F341" s="598"/>
      <c r="G341" s="598"/>
      <c r="H341" s="598"/>
      <c r="I341" s="95">
        <f>SUM(I340:I340)</f>
        <v>0</v>
      </c>
    </row>
    <row r="342" spans="1:9" s="128" customFormat="1" ht="30" customHeight="1" x14ac:dyDescent="0.2">
      <c r="B342" s="597" t="s">
        <v>70</v>
      </c>
      <c r="C342" s="597"/>
      <c r="D342" s="597"/>
      <c r="E342" s="597"/>
      <c r="F342" s="597"/>
      <c r="G342" s="597"/>
      <c r="H342" s="597"/>
      <c r="I342" s="597"/>
    </row>
    <row r="343" spans="1:9" x14ac:dyDescent="0.2">
      <c r="B343" s="96" t="s">
        <v>59</v>
      </c>
      <c r="C343" s="78" t="s">
        <v>5</v>
      </c>
      <c r="D343" s="40" t="s">
        <v>6</v>
      </c>
      <c r="E343" s="42"/>
      <c r="F343" s="42"/>
      <c r="G343" s="42"/>
      <c r="H343" s="40" t="s">
        <v>71</v>
      </c>
      <c r="I343" s="43" t="s">
        <v>65</v>
      </c>
    </row>
    <row r="344" spans="1:9" ht="15.75" customHeight="1" x14ac:dyDescent="0.2">
      <c r="B344" s="310" t="s">
        <v>432</v>
      </c>
      <c r="C344" s="311" t="s">
        <v>27</v>
      </c>
      <c r="D344" s="312">
        <v>1</v>
      </c>
      <c r="E344" s="50"/>
      <c r="F344" s="50"/>
      <c r="G344" s="50"/>
      <c r="H344" s="56">
        <f>INSUMOS!E97</f>
        <v>77.25</v>
      </c>
      <c r="I344" s="87">
        <f>H344*D344</f>
        <v>77.25</v>
      </c>
    </row>
    <row r="345" spans="1:9" ht="15.75" customHeight="1" x14ac:dyDescent="0.2">
      <c r="B345" s="313" t="s">
        <v>99</v>
      </c>
      <c r="C345" s="314" t="s">
        <v>95</v>
      </c>
      <c r="D345" s="170">
        <v>0.2</v>
      </c>
      <c r="E345" s="309"/>
      <c r="F345" s="50"/>
      <c r="G345" s="50"/>
      <c r="H345" s="56">
        <f>INSUMOS!E32</f>
        <v>2.38</v>
      </c>
      <c r="I345" s="87">
        <f>H345*D345</f>
        <v>0.48</v>
      </c>
    </row>
    <row r="346" spans="1:9" ht="15.75" customHeight="1" x14ac:dyDescent="0.2">
      <c r="B346" s="313" t="s">
        <v>433</v>
      </c>
      <c r="C346" s="314" t="s">
        <v>95</v>
      </c>
      <c r="D346" s="170">
        <v>0.01</v>
      </c>
      <c r="E346" s="309"/>
      <c r="F346" s="50"/>
      <c r="G346" s="50"/>
      <c r="H346" s="56">
        <f>INSUMOS!E33</f>
        <v>14.25</v>
      </c>
      <c r="I346" s="87">
        <f>H346*D346</f>
        <v>0.14000000000000001</v>
      </c>
    </row>
    <row r="347" spans="1:9" ht="15.95" customHeight="1" x14ac:dyDescent="0.2">
      <c r="B347" s="598" t="s">
        <v>69</v>
      </c>
      <c r="C347" s="598"/>
      <c r="D347" s="598"/>
      <c r="E347" s="598"/>
      <c r="F347" s="598"/>
      <c r="G347" s="598"/>
      <c r="H347" s="598"/>
      <c r="I347" s="90">
        <f>SUM(I344:I346)</f>
        <v>77.87</v>
      </c>
    </row>
    <row r="348" spans="1:9" s="128" customFormat="1" ht="30" customHeight="1" x14ac:dyDescent="0.2">
      <c r="B348" s="597" t="s">
        <v>72</v>
      </c>
      <c r="C348" s="597"/>
      <c r="D348" s="597"/>
      <c r="E348" s="597"/>
      <c r="F348" s="597"/>
      <c r="G348" s="597"/>
      <c r="H348" s="597"/>
      <c r="I348" s="597"/>
    </row>
    <row r="349" spans="1:9" ht="15.95" customHeight="1" x14ac:dyDescent="0.2">
      <c r="B349" s="45" t="s">
        <v>59</v>
      </c>
      <c r="C349" s="57" t="s">
        <v>5</v>
      </c>
      <c r="D349" s="47" t="s">
        <v>6</v>
      </c>
      <c r="E349" s="46"/>
      <c r="F349" s="46"/>
      <c r="G349" s="46"/>
      <c r="H349" s="47" t="s">
        <v>71</v>
      </c>
      <c r="I349" s="43" t="s">
        <v>65</v>
      </c>
    </row>
    <row r="350" spans="1:9" ht="15.95" customHeight="1" x14ac:dyDescent="0.2">
      <c r="B350" s="48"/>
      <c r="C350" s="47"/>
      <c r="D350" s="47"/>
      <c r="E350" s="46"/>
      <c r="F350" s="46"/>
      <c r="G350" s="46"/>
      <c r="H350" s="47"/>
      <c r="I350" s="90">
        <f>D350*H350</f>
        <v>0</v>
      </c>
    </row>
    <row r="351" spans="1:9" ht="15.95" customHeight="1" x14ac:dyDescent="0.2">
      <c r="B351" s="598" t="s">
        <v>69</v>
      </c>
      <c r="C351" s="598"/>
      <c r="D351" s="598"/>
      <c r="E351" s="598"/>
      <c r="F351" s="598"/>
      <c r="G351" s="598"/>
      <c r="H351" s="598"/>
      <c r="I351" s="90">
        <f>SUM(I350:I350)</f>
        <v>0</v>
      </c>
    </row>
    <row r="352" spans="1:9" s="128" customFormat="1" ht="30" customHeight="1" x14ac:dyDescent="0.2">
      <c r="B352" s="597" t="s">
        <v>74</v>
      </c>
      <c r="C352" s="597"/>
      <c r="D352" s="597"/>
      <c r="E352" s="597"/>
      <c r="F352" s="597"/>
      <c r="G352" s="597"/>
      <c r="H352" s="597"/>
      <c r="I352" s="597"/>
    </row>
    <row r="353" spans="2:9" ht="15.95" customHeight="1" x14ac:dyDescent="0.2">
      <c r="B353" s="96" t="s">
        <v>59</v>
      </c>
      <c r="C353" s="78" t="s">
        <v>5</v>
      </c>
      <c r="D353" s="110" t="s">
        <v>6</v>
      </c>
      <c r="E353" s="42"/>
      <c r="F353" s="42"/>
      <c r="G353" s="42"/>
      <c r="H353" s="40" t="s">
        <v>71</v>
      </c>
      <c r="I353" s="43" t="s">
        <v>65</v>
      </c>
    </row>
    <row r="354" spans="2:9" ht="15.95" customHeight="1" x14ac:dyDescent="0.2">
      <c r="B354" s="53" t="s">
        <v>100</v>
      </c>
      <c r="C354" s="71" t="s">
        <v>67</v>
      </c>
      <c r="D354" s="47">
        <v>1</v>
      </c>
      <c r="E354" s="46"/>
      <c r="F354" s="46"/>
      <c r="G354" s="46"/>
      <c r="H354" s="56">
        <f>INSUMOS!E17</f>
        <v>8.52</v>
      </c>
      <c r="I354" s="90">
        <f>H354*D354</f>
        <v>8.52</v>
      </c>
    </row>
    <row r="355" spans="2:9" ht="15.95" customHeight="1" x14ac:dyDescent="0.2">
      <c r="B355" s="91" t="s">
        <v>75</v>
      </c>
      <c r="C355" s="71" t="s">
        <v>67</v>
      </c>
      <c r="D355" s="47">
        <v>2</v>
      </c>
      <c r="E355" s="46"/>
      <c r="F355" s="46"/>
      <c r="G355" s="46"/>
      <c r="H355" s="56">
        <f>INSUMOS!E14</f>
        <v>3.42</v>
      </c>
      <c r="I355" s="90">
        <f>H355*D355</f>
        <v>6.84</v>
      </c>
    </row>
    <row r="356" spans="2:9" ht="15.95" customHeight="1" x14ac:dyDescent="0.2">
      <c r="B356" s="599" t="s">
        <v>641</v>
      </c>
      <c r="C356" s="599"/>
      <c r="D356" s="599"/>
      <c r="E356" s="599"/>
      <c r="F356" s="599"/>
      <c r="G356" s="599"/>
      <c r="H356" s="599"/>
      <c r="I356" s="90">
        <f>SUM(I354:I355)*0.9103</f>
        <v>13.98</v>
      </c>
    </row>
    <row r="357" spans="2:9" ht="15.95" customHeight="1" x14ac:dyDescent="0.2">
      <c r="B357" s="598" t="s">
        <v>69</v>
      </c>
      <c r="C357" s="598"/>
      <c r="D357" s="598"/>
      <c r="E357" s="598"/>
      <c r="F357" s="598"/>
      <c r="G357" s="598"/>
      <c r="H357" s="598"/>
      <c r="I357" s="92">
        <f>SUM(I354:I356)</f>
        <v>29.34</v>
      </c>
    </row>
    <row r="358" spans="2:9" ht="15.95" customHeight="1" x14ac:dyDescent="0.2">
      <c r="B358" s="148" t="s">
        <v>76</v>
      </c>
      <c r="C358" s="149">
        <v>1</v>
      </c>
      <c r="D358" s="671" t="s">
        <v>77</v>
      </c>
      <c r="E358" s="672"/>
      <c r="F358" s="672"/>
      <c r="G358" s="672"/>
      <c r="H358" s="673"/>
      <c r="I358" s="95">
        <f>I341+I347+I351+I357</f>
        <v>107.21</v>
      </c>
    </row>
    <row r="359" spans="2:9" ht="15.95" customHeight="1" x14ac:dyDescent="0.2">
      <c r="B359" s="593"/>
      <c r="C359" s="594"/>
      <c r="D359" s="594"/>
      <c r="E359" s="594"/>
      <c r="F359" s="594"/>
      <c r="G359" s="594"/>
      <c r="H359" s="595"/>
      <c r="I359" s="95">
        <f>I358/C358</f>
        <v>107.21</v>
      </c>
    </row>
    <row r="360" spans="2:9" ht="15.95" customHeight="1" x14ac:dyDescent="0.2">
      <c r="B360" s="140" t="s">
        <v>346</v>
      </c>
      <c r="C360" s="146">
        <v>25</v>
      </c>
      <c r="D360" s="147" t="s">
        <v>272</v>
      </c>
      <c r="E360" s="137"/>
      <c r="F360" s="137"/>
      <c r="G360" s="137"/>
      <c r="H360" s="138"/>
      <c r="I360" s="90">
        <f>C360/100*I359</f>
        <v>26.8</v>
      </c>
    </row>
    <row r="361" spans="2:9" s="128" customFormat="1" ht="30" customHeight="1" thickBot="1" x14ac:dyDescent="0.25">
      <c r="B361" s="596" t="s">
        <v>78</v>
      </c>
      <c r="C361" s="596"/>
      <c r="D361" s="596"/>
      <c r="E361" s="596"/>
      <c r="F361" s="596"/>
      <c r="G361" s="596"/>
      <c r="H361" s="596"/>
      <c r="I361" s="136">
        <f>SUM(I359:I360)</f>
        <v>134.01</v>
      </c>
    </row>
    <row r="367" spans="2:9" ht="13.5" thickBot="1" x14ac:dyDescent="0.25"/>
    <row r="368" spans="2:9" ht="30" customHeight="1" x14ac:dyDescent="0.2">
      <c r="B368" s="202" t="s">
        <v>55</v>
      </c>
      <c r="C368" s="488" t="str">
        <f>PERFURAÇÃO!B29</f>
        <v>2.7</v>
      </c>
      <c r="D368" s="665" t="s">
        <v>56</v>
      </c>
      <c r="E368" s="665"/>
      <c r="F368" s="665"/>
      <c r="G368" s="665"/>
      <c r="H368" s="665"/>
      <c r="I368" s="665"/>
    </row>
    <row r="369" spans="1:9" s="128" customFormat="1" ht="30" customHeight="1" x14ac:dyDescent="0.2">
      <c r="B369" s="666" t="s">
        <v>344</v>
      </c>
      <c r="C369" s="667"/>
      <c r="D369" s="667"/>
      <c r="E369" s="667"/>
      <c r="F369" s="667"/>
      <c r="G369" s="668"/>
      <c r="H369" s="669" t="s">
        <v>568</v>
      </c>
      <c r="I369" s="670"/>
    </row>
    <row r="370" spans="1:9" ht="30" customHeight="1" x14ac:dyDescent="0.2">
      <c r="B370" s="664" t="s">
        <v>127</v>
      </c>
      <c r="C370" s="664"/>
      <c r="D370" s="664"/>
      <c r="E370" s="664"/>
      <c r="F370" s="664"/>
      <c r="G370" s="664"/>
      <c r="H370" s="34" t="s">
        <v>57</v>
      </c>
      <c r="I370" s="127" t="s">
        <v>32</v>
      </c>
    </row>
    <row r="371" spans="1:9" s="128" customFormat="1" ht="30" customHeight="1" x14ac:dyDescent="0.2">
      <c r="B371" s="597" t="s">
        <v>58</v>
      </c>
      <c r="C371" s="597"/>
      <c r="D371" s="597"/>
      <c r="E371" s="597"/>
      <c r="F371" s="597"/>
      <c r="G371" s="597"/>
      <c r="H371" s="597"/>
      <c r="I371" s="597"/>
    </row>
    <row r="372" spans="1:9" ht="25.5" x14ac:dyDescent="0.2">
      <c r="A372" s="93"/>
      <c r="B372" s="35" t="s">
        <v>59</v>
      </c>
      <c r="C372" s="173" t="s">
        <v>5</v>
      </c>
      <c r="D372" s="36" t="s">
        <v>6</v>
      </c>
      <c r="E372" s="36" t="s">
        <v>61</v>
      </c>
      <c r="F372" s="36" t="s">
        <v>62</v>
      </c>
      <c r="G372" s="36" t="s">
        <v>63</v>
      </c>
      <c r="H372" s="36" t="s">
        <v>64</v>
      </c>
      <c r="I372" s="37" t="s">
        <v>65</v>
      </c>
    </row>
    <row r="373" spans="1:9" s="128" customFormat="1" ht="15.95" customHeight="1" x14ac:dyDescent="0.2">
      <c r="B373" s="123" t="s">
        <v>128</v>
      </c>
      <c r="C373" s="88" t="s">
        <v>67</v>
      </c>
      <c r="D373" s="162">
        <v>1.94</v>
      </c>
      <c r="E373" s="47"/>
      <c r="F373" s="47"/>
      <c r="G373" s="56">
        <f>INSUMOS!E59</f>
        <v>4.05</v>
      </c>
      <c r="I373" s="90">
        <f>G373*D373</f>
        <v>7.86</v>
      </c>
    </row>
    <row r="374" spans="1:9" x14ac:dyDescent="0.2">
      <c r="B374" s="598" t="s">
        <v>69</v>
      </c>
      <c r="C374" s="598"/>
      <c r="D374" s="598"/>
      <c r="E374" s="598"/>
      <c r="F374" s="598"/>
      <c r="G374" s="598"/>
      <c r="H374" s="598"/>
      <c r="I374" s="95">
        <f>SUM(I373:I373)</f>
        <v>7.86</v>
      </c>
    </row>
    <row r="375" spans="1:9" s="128" customFormat="1" ht="30" customHeight="1" x14ac:dyDescent="0.2">
      <c r="B375" s="597" t="s">
        <v>70</v>
      </c>
      <c r="C375" s="597"/>
      <c r="D375" s="597"/>
      <c r="E375" s="597"/>
      <c r="F375" s="597"/>
      <c r="G375" s="597"/>
      <c r="H375" s="597"/>
      <c r="I375" s="597"/>
    </row>
    <row r="376" spans="1:9" s="128" customFormat="1" ht="15.95" customHeight="1" x14ac:dyDescent="0.2">
      <c r="B376" s="181" t="s">
        <v>59</v>
      </c>
      <c r="C376" s="182" t="s">
        <v>5</v>
      </c>
      <c r="D376" s="47" t="s">
        <v>6</v>
      </c>
      <c r="E376" s="46"/>
      <c r="F376" s="46"/>
      <c r="G376" s="46"/>
      <c r="H376" s="47" t="s">
        <v>71</v>
      </c>
      <c r="I376" s="90" t="s">
        <v>65</v>
      </c>
    </row>
    <row r="377" spans="1:9" s="128" customFormat="1" ht="15.95" customHeight="1" x14ac:dyDescent="0.2">
      <c r="B377" s="97" t="s">
        <v>129</v>
      </c>
      <c r="C377" s="88" t="s">
        <v>88</v>
      </c>
      <c r="D377" s="89">
        <v>364.36</v>
      </c>
      <c r="E377" s="46"/>
      <c r="F377" s="46"/>
      <c r="G377" s="46"/>
      <c r="H377" s="56">
        <f>INSUMOS!E41</f>
        <v>0.48</v>
      </c>
      <c r="I377" s="90">
        <f>H377*D377</f>
        <v>174.89</v>
      </c>
    </row>
    <row r="378" spans="1:9" s="128" customFormat="1" ht="15.95" customHeight="1" x14ac:dyDescent="0.2">
      <c r="B378" s="97" t="s">
        <v>130</v>
      </c>
      <c r="C378" s="88" t="s">
        <v>32</v>
      </c>
      <c r="D378" s="89">
        <v>1.34</v>
      </c>
      <c r="E378" s="46"/>
      <c r="F378" s="46"/>
      <c r="G378" s="46"/>
      <c r="H378" s="56">
        <f>INSUMOS!E47</f>
        <v>70</v>
      </c>
      <c r="I378" s="90">
        <f>H378*D378</f>
        <v>93.8</v>
      </c>
    </row>
    <row r="379" spans="1:9" s="128" customFormat="1" ht="15.95" customHeight="1" x14ac:dyDescent="0.2">
      <c r="B379" s="598" t="s">
        <v>69</v>
      </c>
      <c r="C379" s="598"/>
      <c r="D379" s="598"/>
      <c r="E379" s="598"/>
      <c r="F379" s="598"/>
      <c r="G379" s="598"/>
      <c r="H379" s="598"/>
      <c r="I379" s="90">
        <f>SUM(I377:I378)</f>
        <v>268.69</v>
      </c>
    </row>
    <row r="380" spans="1:9" s="128" customFormat="1" ht="30" customHeight="1" x14ac:dyDescent="0.2">
      <c r="B380" s="597" t="s">
        <v>72</v>
      </c>
      <c r="C380" s="597"/>
      <c r="D380" s="597"/>
      <c r="E380" s="597"/>
      <c r="F380" s="597"/>
      <c r="G380" s="597"/>
      <c r="H380" s="597"/>
      <c r="I380" s="597"/>
    </row>
    <row r="381" spans="1:9" s="128" customFormat="1" ht="15.95" customHeight="1" x14ac:dyDescent="0.2">
      <c r="B381" s="45" t="s">
        <v>59</v>
      </c>
      <c r="C381" s="71" t="s">
        <v>5</v>
      </c>
      <c r="D381" s="47" t="s">
        <v>6</v>
      </c>
      <c r="E381" s="46"/>
      <c r="F381" s="46"/>
      <c r="G381" s="46"/>
      <c r="H381" s="47" t="s">
        <v>71</v>
      </c>
      <c r="I381" s="90" t="s">
        <v>65</v>
      </c>
    </row>
    <row r="382" spans="1:9" s="128" customFormat="1" ht="15.95" customHeight="1" x14ac:dyDescent="0.2">
      <c r="B382" s="84"/>
      <c r="C382" s="47"/>
      <c r="D382" s="47"/>
      <c r="E382" s="46"/>
      <c r="F382" s="46"/>
      <c r="G382" s="46"/>
      <c r="H382" s="47"/>
      <c r="I382" s="90">
        <f>D382*H382</f>
        <v>0</v>
      </c>
    </row>
    <row r="383" spans="1:9" s="128" customFormat="1" ht="15.95" customHeight="1" x14ac:dyDescent="0.2">
      <c r="B383" s="598" t="s">
        <v>69</v>
      </c>
      <c r="C383" s="598"/>
      <c r="D383" s="598"/>
      <c r="E383" s="598"/>
      <c r="F383" s="598"/>
      <c r="G383" s="598"/>
      <c r="H383" s="598"/>
      <c r="I383" s="90">
        <f>SUM(I382:I382)</f>
        <v>0</v>
      </c>
    </row>
    <row r="384" spans="1:9" s="128" customFormat="1" ht="30" customHeight="1" x14ac:dyDescent="0.2">
      <c r="B384" s="597" t="s">
        <v>74</v>
      </c>
      <c r="C384" s="597"/>
      <c r="D384" s="597"/>
      <c r="E384" s="597"/>
      <c r="F384" s="597"/>
      <c r="G384" s="597"/>
      <c r="H384" s="597"/>
      <c r="I384" s="597"/>
    </row>
    <row r="385" spans="2:12" s="128" customFormat="1" ht="15.95" customHeight="1" x14ac:dyDescent="0.2">
      <c r="B385" s="181" t="s">
        <v>59</v>
      </c>
      <c r="C385" s="182" t="s">
        <v>5</v>
      </c>
      <c r="D385" s="145" t="s">
        <v>6</v>
      </c>
      <c r="E385" s="46"/>
      <c r="F385" s="46"/>
      <c r="G385" s="46"/>
      <c r="H385" s="47" t="s">
        <v>71</v>
      </c>
      <c r="I385" s="90" t="s">
        <v>65</v>
      </c>
    </row>
    <row r="386" spans="2:12" s="128" customFormat="1" ht="15.95" customHeight="1" x14ac:dyDescent="0.2">
      <c r="B386" s="53" t="s">
        <v>75</v>
      </c>
      <c r="C386" s="71" t="s">
        <v>67</v>
      </c>
      <c r="D386" s="47">
        <v>4</v>
      </c>
      <c r="E386" s="46"/>
      <c r="F386" s="46"/>
      <c r="G386" s="46"/>
      <c r="H386" s="56">
        <f>INSUMOS!E14</f>
        <v>3.42</v>
      </c>
      <c r="I386" s="90">
        <f>H386*D386</f>
        <v>13.68</v>
      </c>
    </row>
    <row r="387" spans="2:12" s="128" customFormat="1" ht="15.95" customHeight="1" x14ac:dyDescent="0.2">
      <c r="B387" s="91" t="s">
        <v>131</v>
      </c>
      <c r="C387" s="71" t="s">
        <v>67</v>
      </c>
      <c r="D387" s="47">
        <v>4</v>
      </c>
      <c r="E387" s="46"/>
      <c r="F387" s="46"/>
      <c r="G387" s="46"/>
      <c r="H387" s="56">
        <f>INSUMOS!E19</f>
        <v>4.55</v>
      </c>
      <c r="I387" s="90">
        <f>H387*D387</f>
        <v>18.2</v>
      </c>
    </row>
    <row r="388" spans="2:12" s="128" customFormat="1" ht="15.95" customHeight="1" x14ac:dyDescent="0.2">
      <c r="B388" s="599" t="s">
        <v>641</v>
      </c>
      <c r="C388" s="599"/>
      <c r="D388" s="599"/>
      <c r="E388" s="599"/>
      <c r="F388" s="599"/>
      <c r="G388" s="599"/>
      <c r="H388" s="599"/>
      <c r="I388" s="90">
        <f>SUM(I386:I387)*0.9103</f>
        <v>29.02</v>
      </c>
    </row>
    <row r="389" spans="2:12" s="128" customFormat="1" ht="15.95" customHeight="1" x14ac:dyDescent="0.2">
      <c r="B389" s="598" t="s">
        <v>69</v>
      </c>
      <c r="C389" s="598"/>
      <c r="D389" s="598"/>
      <c r="E389" s="598"/>
      <c r="F389" s="598"/>
      <c r="G389" s="598"/>
      <c r="H389" s="598"/>
      <c r="I389" s="95">
        <f>SUM(I386:I388)</f>
        <v>60.9</v>
      </c>
    </row>
    <row r="390" spans="2:12" s="128" customFormat="1" ht="15.95" customHeight="1" x14ac:dyDescent="0.2">
      <c r="B390" s="148" t="s">
        <v>76</v>
      </c>
      <c r="C390" s="149">
        <v>1.05</v>
      </c>
      <c r="D390" s="671" t="s">
        <v>77</v>
      </c>
      <c r="E390" s="672"/>
      <c r="F390" s="672"/>
      <c r="G390" s="672"/>
      <c r="H390" s="673"/>
      <c r="I390" s="95">
        <f>I374+I379+I383+I389</f>
        <v>337.45</v>
      </c>
    </row>
    <row r="391" spans="2:12" s="128" customFormat="1" ht="15.95" customHeight="1" x14ac:dyDescent="0.2">
      <c r="B391" s="593"/>
      <c r="C391" s="594"/>
      <c r="D391" s="594"/>
      <c r="E391" s="594"/>
      <c r="F391" s="594"/>
      <c r="G391" s="594"/>
      <c r="H391" s="595"/>
      <c r="I391" s="95">
        <f>I390/C390</f>
        <v>321.38</v>
      </c>
      <c r="K391" s="128">
        <v>321.87</v>
      </c>
      <c r="L391" s="201" t="s">
        <v>353</v>
      </c>
    </row>
    <row r="392" spans="2:12" s="128" customFormat="1" ht="15.95" customHeight="1" x14ac:dyDescent="0.2">
      <c r="B392" s="140" t="s">
        <v>346</v>
      </c>
      <c r="C392" s="146">
        <v>25</v>
      </c>
      <c r="D392" s="147" t="s">
        <v>272</v>
      </c>
      <c r="E392" s="137"/>
      <c r="F392" s="137"/>
      <c r="G392" s="137"/>
      <c r="H392" s="138"/>
      <c r="I392" s="90">
        <f>C392/100*I391</f>
        <v>80.349999999999994</v>
      </c>
      <c r="L392" s="201"/>
    </row>
    <row r="393" spans="2:12" s="128" customFormat="1" ht="30" customHeight="1" thickBot="1" x14ac:dyDescent="0.25">
      <c r="B393" s="596" t="s">
        <v>78</v>
      </c>
      <c r="C393" s="596"/>
      <c r="D393" s="596"/>
      <c r="E393" s="596"/>
      <c r="F393" s="596"/>
      <c r="G393" s="596"/>
      <c r="H393" s="596"/>
      <c r="I393" s="136">
        <f>SUM(I391:I392)</f>
        <v>401.73</v>
      </c>
    </row>
    <row r="399" spans="2:12" ht="13.5" thickBot="1" x14ac:dyDescent="0.25"/>
    <row r="400" spans="2:12" s="128" customFormat="1" ht="30" customHeight="1" x14ac:dyDescent="0.2">
      <c r="B400" s="202" t="s">
        <v>55</v>
      </c>
      <c r="C400" s="488" t="str">
        <f>PERFURAÇÃO!B30</f>
        <v>2.8</v>
      </c>
      <c r="D400" s="665" t="s">
        <v>56</v>
      </c>
      <c r="E400" s="665"/>
      <c r="F400" s="665"/>
      <c r="G400" s="665"/>
      <c r="H400" s="665"/>
      <c r="I400" s="665"/>
    </row>
    <row r="401" spans="1:9" s="128" customFormat="1" ht="30" customHeight="1" x14ac:dyDescent="0.2">
      <c r="B401" s="690" t="s">
        <v>344</v>
      </c>
      <c r="C401" s="691"/>
      <c r="D401" s="691"/>
      <c r="E401" s="691"/>
      <c r="F401" s="691"/>
      <c r="G401" s="692"/>
      <c r="H401" s="688" t="s">
        <v>568</v>
      </c>
      <c r="I401" s="689"/>
    </row>
    <row r="402" spans="1:9" s="128" customFormat="1" ht="30" customHeight="1" x14ac:dyDescent="0.2">
      <c r="B402" s="685" t="s">
        <v>491</v>
      </c>
      <c r="C402" s="685"/>
      <c r="D402" s="685"/>
      <c r="E402" s="685"/>
      <c r="F402" s="685"/>
      <c r="G402" s="685"/>
      <c r="H402" s="316" t="s">
        <v>57</v>
      </c>
      <c r="I402" s="127" t="s">
        <v>398</v>
      </c>
    </row>
    <row r="403" spans="1:9" s="128" customFormat="1" ht="30" customHeight="1" x14ac:dyDescent="0.2">
      <c r="B403" s="597" t="s">
        <v>58</v>
      </c>
      <c r="C403" s="597"/>
      <c r="D403" s="597"/>
      <c r="E403" s="597"/>
      <c r="F403" s="597"/>
      <c r="G403" s="597"/>
      <c r="H403" s="597"/>
      <c r="I403" s="597"/>
    </row>
    <row r="404" spans="1:9" ht="25.5" x14ac:dyDescent="0.2">
      <c r="A404" s="93"/>
      <c r="B404" s="35" t="s">
        <v>59</v>
      </c>
      <c r="C404" s="173" t="s">
        <v>5</v>
      </c>
      <c r="D404" s="36" t="s">
        <v>6</v>
      </c>
      <c r="E404" s="36" t="s">
        <v>61</v>
      </c>
      <c r="F404" s="36" t="s">
        <v>62</v>
      </c>
      <c r="G404" s="36" t="s">
        <v>63</v>
      </c>
      <c r="H404" s="36" t="s">
        <v>64</v>
      </c>
      <c r="I404" s="37" t="s">
        <v>65</v>
      </c>
    </row>
    <row r="405" spans="1:9" ht="15.95" customHeight="1" x14ac:dyDescent="0.2">
      <c r="B405" s="84" t="s">
        <v>103</v>
      </c>
      <c r="C405" s="85" t="s">
        <v>67</v>
      </c>
      <c r="D405" s="243">
        <v>4</v>
      </c>
      <c r="E405" s="58"/>
      <c r="F405" s="58"/>
      <c r="G405" s="56">
        <f>INSUMOS!E102</f>
        <v>12.39</v>
      </c>
      <c r="I405" s="90">
        <f>G405*D405</f>
        <v>49.56</v>
      </c>
    </row>
    <row r="406" spans="1:9" x14ac:dyDescent="0.2">
      <c r="B406" s="598" t="s">
        <v>69</v>
      </c>
      <c r="C406" s="598"/>
      <c r="D406" s="598"/>
      <c r="E406" s="598"/>
      <c r="F406" s="598"/>
      <c r="G406" s="598"/>
      <c r="H406" s="598"/>
      <c r="I406" s="95">
        <f>SUM(I405:I405)</f>
        <v>49.56</v>
      </c>
    </row>
    <row r="407" spans="1:9" s="128" customFormat="1" ht="30" customHeight="1" x14ac:dyDescent="0.2">
      <c r="B407" s="597" t="s">
        <v>70</v>
      </c>
      <c r="C407" s="597"/>
      <c r="D407" s="597"/>
      <c r="E407" s="597"/>
      <c r="F407" s="597"/>
      <c r="G407" s="597"/>
      <c r="H407" s="597"/>
      <c r="I407" s="597"/>
    </row>
    <row r="408" spans="1:9" ht="15.95" customHeight="1" x14ac:dyDescent="0.2">
      <c r="B408" s="181" t="s">
        <v>59</v>
      </c>
      <c r="C408" s="182" t="s">
        <v>5</v>
      </c>
      <c r="D408" s="47" t="s">
        <v>6</v>
      </c>
      <c r="E408" s="46"/>
      <c r="F408" s="46"/>
      <c r="G408" s="46"/>
      <c r="H408" s="47" t="s">
        <v>71</v>
      </c>
      <c r="I408" s="90" t="s">
        <v>65</v>
      </c>
    </row>
    <row r="409" spans="1:9" ht="15.95" customHeight="1" x14ac:dyDescent="0.2">
      <c r="B409" s="97" t="s">
        <v>99</v>
      </c>
      <c r="C409" s="88" t="s">
        <v>95</v>
      </c>
      <c r="D409" s="89">
        <v>7.5</v>
      </c>
      <c r="E409" s="46"/>
      <c r="F409" s="46"/>
      <c r="G409" s="46"/>
      <c r="H409" s="56">
        <f>INSUMOS!E32</f>
        <v>2.38</v>
      </c>
      <c r="I409" s="90">
        <f>H409*D409</f>
        <v>17.850000000000001</v>
      </c>
    </row>
    <row r="410" spans="1:9" ht="15.95" customHeight="1" x14ac:dyDescent="0.2">
      <c r="B410" s="97" t="s">
        <v>110</v>
      </c>
      <c r="C410" s="88" t="s">
        <v>95</v>
      </c>
      <c r="D410" s="89">
        <v>0.28000000000000003</v>
      </c>
      <c r="E410" s="46"/>
      <c r="F410" s="46"/>
      <c r="G410" s="46"/>
      <c r="H410" s="56">
        <f>INSUMOS!E33</f>
        <v>14.25</v>
      </c>
      <c r="I410" s="90">
        <f>H410*D410</f>
        <v>3.99</v>
      </c>
    </row>
    <row r="411" spans="1:9" ht="15.95" customHeight="1" x14ac:dyDescent="0.2">
      <c r="B411" s="598" t="s">
        <v>69</v>
      </c>
      <c r="C411" s="598"/>
      <c r="D411" s="598"/>
      <c r="E411" s="598"/>
      <c r="F411" s="598"/>
      <c r="G411" s="598"/>
      <c r="H411" s="598"/>
      <c r="I411" s="90">
        <f>SUM(I409:I410)</f>
        <v>21.84</v>
      </c>
    </row>
    <row r="412" spans="1:9" s="128" customFormat="1" ht="30" customHeight="1" x14ac:dyDescent="0.2">
      <c r="B412" s="597" t="s">
        <v>72</v>
      </c>
      <c r="C412" s="597"/>
      <c r="D412" s="597"/>
      <c r="E412" s="597"/>
      <c r="F412" s="597"/>
      <c r="G412" s="597"/>
      <c r="H412" s="597"/>
      <c r="I412" s="597"/>
    </row>
    <row r="413" spans="1:9" ht="15.95" customHeight="1" x14ac:dyDescent="0.2">
      <c r="B413" s="45" t="s">
        <v>59</v>
      </c>
      <c r="C413" s="71" t="s">
        <v>5</v>
      </c>
      <c r="D413" s="47" t="s">
        <v>6</v>
      </c>
      <c r="E413" s="46"/>
      <c r="F413" s="46"/>
      <c r="G413" s="46"/>
      <c r="H413" s="47" t="s">
        <v>71</v>
      </c>
      <c r="I413" s="90" t="s">
        <v>65</v>
      </c>
    </row>
    <row r="414" spans="1:9" ht="15.95" customHeight="1" x14ac:dyDescent="0.2">
      <c r="B414" s="48"/>
      <c r="C414" s="47"/>
      <c r="D414" s="47"/>
      <c r="E414" s="46"/>
      <c r="F414" s="46"/>
      <c r="G414" s="46"/>
      <c r="H414" s="47"/>
      <c r="I414" s="90">
        <f>D414*H414</f>
        <v>0</v>
      </c>
    </row>
    <row r="415" spans="1:9" ht="15.95" customHeight="1" x14ac:dyDescent="0.2">
      <c r="B415" s="598" t="s">
        <v>69</v>
      </c>
      <c r="C415" s="598"/>
      <c r="D415" s="598"/>
      <c r="E415" s="598"/>
      <c r="F415" s="598"/>
      <c r="G415" s="598"/>
      <c r="H415" s="598"/>
      <c r="I415" s="90">
        <f>SUM(I414:I414)</f>
        <v>0</v>
      </c>
    </row>
    <row r="416" spans="1:9" s="128" customFormat="1" ht="30" customHeight="1" x14ac:dyDescent="0.2">
      <c r="B416" s="597" t="s">
        <v>74</v>
      </c>
      <c r="C416" s="597"/>
      <c r="D416" s="597"/>
      <c r="E416" s="597"/>
      <c r="F416" s="597"/>
      <c r="G416" s="597"/>
      <c r="H416" s="597"/>
      <c r="I416" s="597"/>
    </row>
    <row r="417" spans="2:9" ht="15.95" customHeight="1" x14ac:dyDescent="0.2">
      <c r="B417" s="181" t="s">
        <v>59</v>
      </c>
      <c r="C417" s="182" t="s">
        <v>5</v>
      </c>
      <c r="D417" s="145" t="s">
        <v>6</v>
      </c>
      <c r="E417" s="46"/>
      <c r="F417" s="46"/>
      <c r="G417" s="46"/>
      <c r="H417" s="47" t="s">
        <v>71</v>
      </c>
      <c r="I417" s="90" t="s">
        <v>65</v>
      </c>
    </row>
    <row r="418" spans="2:9" ht="15.95" customHeight="1" x14ac:dyDescent="0.2">
      <c r="B418" s="99" t="s">
        <v>111</v>
      </c>
      <c r="C418" s="83" t="s">
        <v>67</v>
      </c>
      <c r="D418" s="49">
        <v>1</v>
      </c>
      <c r="E418" s="59"/>
      <c r="F418" s="59"/>
      <c r="G418" s="59"/>
      <c r="H418" s="52">
        <f>INSUMOS!E23</f>
        <v>7.66</v>
      </c>
      <c r="I418" s="100">
        <f>H418*D418</f>
        <v>7.66</v>
      </c>
    </row>
    <row r="419" spans="2:9" ht="15.95" customHeight="1" x14ac:dyDescent="0.2">
      <c r="B419" s="91" t="s">
        <v>75</v>
      </c>
      <c r="C419" s="71" t="s">
        <v>67</v>
      </c>
      <c r="D419" s="47">
        <v>2</v>
      </c>
      <c r="E419" s="42"/>
      <c r="F419" s="42"/>
      <c r="G419" s="42"/>
      <c r="H419" s="56">
        <f>INSUMOS!E14</f>
        <v>3.42</v>
      </c>
      <c r="I419" s="90">
        <f>H419*D419</f>
        <v>6.84</v>
      </c>
    </row>
    <row r="420" spans="2:9" ht="15.95" customHeight="1" x14ac:dyDescent="0.2">
      <c r="B420" s="599" t="s">
        <v>641</v>
      </c>
      <c r="C420" s="599"/>
      <c r="D420" s="599"/>
      <c r="E420" s="599"/>
      <c r="F420" s="599"/>
      <c r="G420" s="599"/>
      <c r="H420" s="599"/>
      <c r="I420" s="90">
        <f>SUM(I418:I419)*0.9103</f>
        <v>13.2</v>
      </c>
    </row>
    <row r="421" spans="2:9" ht="15.95" customHeight="1" x14ac:dyDescent="0.2">
      <c r="B421" s="598" t="s">
        <v>69</v>
      </c>
      <c r="C421" s="598"/>
      <c r="D421" s="598"/>
      <c r="E421" s="598"/>
      <c r="F421" s="598"/>
      <c r="G421" s="598"/>
      <c r="H421" s="598"/>
      <c r="I421" s="95">
        <f>SUM(I418:I420)</f>
        <v>27.7</v>
      </c>
    </row>
    <row r="422" spans="2:9" ht="15.95" customHeight="1" x14ac:dyDescent="0.2">
      <c r="B422" s="148" t="s">
        <v>76</v>
      </c>
      <c r="C422" s="149">
        <v>1</v>
      </c>
      <c r="D422" s="671" t="s">
        <v>77</v>
      </c>
      <c r="E422" s="672"/>
      <c r="F422" s="672"/>
      <c r="G422" s="672"/>
      <c r="H422" s="673"/>
      <c r="I422" s="95">
        <f>I406+I411+I415+I421</f>
        <v>99.1</v>
      </c>
    </row>
    <row r="423" spans="2:9" ht="15.95" customHeight="1" x14ac:dyDescent="0.2">
      <c r="B423" s="593"/>
      <c r="C423" s="594"/>
      <c r="D423" s="594"/>
      <c r="E423" s="594"/>
      <c r="F423" s="594"/>
      <c r="G423" s="594"/>
      <c r="H423" s="595"/>
      <c r="I423" s="95">
        <f>I422/C422</f>
        <v>99.1</v>
      </c>
    </row>
    <row r="424" spans="2:9" ht="15.95" customHeight="1" x14ac:dyDescent="0.2">
      <c r="B424" s="140" t="s">
        <v>346</v>
      </c>
      <c r="C424" s="146">
        <v>25</v>
      </c>
      <c r="D424" s="147" t="s">
        <v>272</v>
      </c>
      <c r="E424" s="137"/>
      <c r="F424" s="137"/>
      <c r="G424" s="137"/>
      <c r="H424" s="138"/>
      <c r="I424" s="90">
        <f>C424/100*I423</f>
        <v>24.78</v>
      </c>
    </row>
    <row r="425" spans="2:9" s="128" customFormat="1" ht="30" customHeight="1" thickBot="1" x14ac:dyDescent="0.25">
      <c r="B425" s="596" t="s">
        <v>78</v>
      </c>
      <c r="C425" s="596"/>
      <c r="D425" s="596"/>
      <c r="E425" s="596"/>
      <c r="F425" s="596"/>
      <c r="G425" s="596"/>
      <c r="H425" s="596"/>
      <c r="I425" s="136">
        <f>SUM(I423:I424)</f>
        <v>123.88</v>
      </c>
    </row>
    <row r="430" spans="2:9" ht="13.5" thickBot="1" x14ac:dyDescent="0.25"/>
    <row r="431" spans="2:9" s="128" customFormat="1" ht="30" customHeight="1" x14ac:dyDescent="0.2">
      <c r="B431" s="202" t="s">
        <v>55</v>
      </c>
      <c r="C431" s="488" t="str">
        <f>PERFURAÇÃO!B31</f>
        <v>2.9</v>
      </c>
      <c r="D431" s="665" t="s">
        <v>56</v>
      </c>
      <c r="E431" s="665"/>
      <c r="F431" s="665"/>
      <c r="G431" s="665"/>
      <c r="H431" s="665"/>
      <c r="I431" s="665"/>
    </row>
    <row r="432" spans="2:9" s="128" customFormat="1" ht="30" customHeight="1" x14ac:dyDescent="0.2">
      <c r="B432" s="690" t="s">
        <v>344</v>
      </c>
      <c r="C432" s="691"/>
      <c r="D432" s="691"/>
      <c r="E432" s="691"/>
      <c r="F432" s="691"/>
      <c r="G432" s="692"/>
      <c r="H432" s="688" t="s">
        <v>568</v>
      </c>
      <c r="I432" s="689"/>
    </row>
    <row r="433" spans="1:9" s="128" customFormat="1" ht="30" customHeight="1" x14ac:dyDescent="0.2">
      <c r="B433" s="685" t="s">
        <v>441</v>
      </c>
      <c r="C433" s="685"/>
      <c r="D433" s="685"/>
      <c r="E433" s="685"/>
      <c r="F433" s="685"/>
      <c r="G433" s="685"/>
      <c r="H433" s="316" t="s">
        <v>57</v>
      </c>
      <c r="I433" s="127" t="s">
        <v>398</v>
      </c>
    </row>
    <row r="434" spans="1:9" s="128" customFormat="1" ht="30" customHeight="1" x14ac:dyDescent="0.2">
      <c r="B434" s="597" t="s">
        <v>58</v>
      </c>
      <c r="C434" s="597"/>
      <c r="D434" s="597"/>
      <c r="E434" s="597"/>
      <c r="F434" s="597"/>
      <c r="G434" s="597"/>
      <c r="H434" s="597"/>
      <c r="I434" s="597"/>
    </row>
    <row r="435" spans="1:9" ht="25.5" x14ac:dyDescent="0.2">
      <c r="A435" s="93"/>
      <c r="B435" s="35" t="s">
        <v>59</v>
      </c>
      <c r="C435" s="173" t="s">
        <v>5</v>
      </c>
      <c r="D435" s="36" t="s">
        <v>6</v>
      </c>
      <c r="E435" s="36" t="s">
        <v>61</v>
      </c>
      <c r="F435" s="36" t="s">
        <v>62</v>
      </c>
      <c r="G435" s="36" t="s">
        <v>63</v>
      </c>
      <c r="H435" s="36" t="s">
        <v>64</v>
      </c>
      <c r="I435" s="37" t="s">
        <v>65</v>
      </c>
    </row>
    <row r="436" spans="1:9" ht="15" customHeight="1" x14ac:dyDescent="0.2">
      <c r="B436" s="84" t="s">
        <v>103</v>
      </c>
      <c r="C436" s="85" t="s">
        <v>67</v>
      </c>
      <c r="D436" s="243">
        <v>8</v>
      </c>
      <c r="E436" s="58"/>
      <c r="F436" s="58"/>
      <c r="G436" s="56">
        <f>INSUMOS!E102</f>
        <v>12.39</v>
      </c>
      <c r="I436" s="90">
        <f>G436*D436</f>
        <v>99.12</v>
      </c>
    </row>
    <row r="437" spans="1:9" ht="15" customHeight="1" x14ac:dyDescent="0.2">
      <c r="B437" s="598" t="s">
        <v>69</v>
      </c>
      <c r="C437" s="598"/>
      <c r="D437" s="598"/>
      <c r="E437" s="598"/>
      <c r="F437" s="598"/>
      <c r="G437" s="598"/>
      <c r="H437" s="598"/>
      <c r="I437" s="95">
        <f>SUM(I436:I436)</f>
        <v>99.12</v>
      </c>
    </row>
    <row r="438" spans="1:9" s="128" customFormat="1" ht="30" customHeight="1" x14ac:dyDescent="0.2">
      <c r="B438" s="597" t="s">
        <v>70</v>
      </c>
      <c r="C438" s="597"/>
      <c r="D438" s="597"/>
      <c r="E438" s="597"/>
      <c r="F438" s="597"/>
      <c r="G438" s="597"/>
      <c r="H438" s="597"/>
      <c r="I438" s="597"/>
    </row>
    <row r="439" spans="1:9" ht="15.95" customHeight="1" x14ac:dyDescent="0.2">
      <c r="B439" s="181" t="s">
        <v>59</v>
      </c>
      <c r="C439" s="182" t="s">
        <v>5</v>
      </c>
      <c r="D439" s="47" t="s">
        <v>6</v>
      </c>
      <c r="E439" s="46"/>
      <c r="F439" s="46"/>
      <c r="G439" s="46"/>
      <c r="H439" s="47" t="s">
        <v>71</v>
      </c>
      <c r="I439" s="90" t="s">
        <v>65</v>
      </c>
    </row>
    <row r="440" spans="1:9" ht="15.95" customHeight="1" x14ac:dyDescent="0.2">
      <c r="B440" s="97" t="s">
        <v>99</v>
      </c>
      <c r="C440" s="88" t="s">
        <v>95</v>
      </c>
      <c r="D440" s="89">
        <v>15</v>
      </c>
      <c r="E440" s="46"/>
      <c r="F440" s="46"/>
      <c r="G440" s="46"/>
      <c r="H440" s="56">
        <f>INSUMOS!E32</f>
        <v>2.38</v>
      </c>
      <c r="I440" s="90">
        <f>H440*D440</f>
        <v>35.700000000000003</v>
      </c>
    </row>
    <row r="441" spans="1:9" ht="15.95" customHeight="1" x14ac:dyDescent="0.2">
      <c r="B441" s="97" t="s">
        <v>110</v>
      </c>
      <c r="C441" s="88" t="s">
        <v>95</v>
      </c>
      <c r="D441" s="89">
        <v>0.45</v>
      </c>
      <c r="E441" s="46"/>
      <c r="F441" s="46"/>
      <c r="G441" s="46"/>
      <c r="H441" s="56">
        <f>INSUMOS!E33</f>
        <v>14.25</v>
      </c>
      <c r="I441" s="90">
        <f>H441*D441</f>
        <v>6.41</v>
      </c>
    </row>
    <row r="442" spans="1:9" ht="15.95" customHeight="1" x14ac:dyDescent="0.2">
      <c r="B442" s="598" t="s">
        <v>69</v>
      </c>
      <c r="C442" s="598"/>
      <c r="D442" s="598"/>
      <c r="E442" s="598"/>
      <c r="F442" s="598"/>
      <c r="G442" s="598"/>
      <c r="H442" s="598"/>
      <c r="I442" s="90">
        <f>SUM(I440:I441)</f>
        <v>42.11</v>
      </c>
    </row>
    <row r="443" spans="1:9" s="128" customFormat="1" ht="30" customHeight="1" x14ac:dyDescent="0.2">
      <c r="B443" s="597" t="s">
        <v>72</v>
      </c>
      <c r="C443" s="597"/>
      <c r="D443" s="597"/>
      <c r="E443" s="597"/>
      <c r="F443" s="597"/>
      <c r="G443" s="597"/>
      <c r="H443" s="597"/>
      <c r="I443" s="597"/>
    </row>
    <row r="444" spans="1:9" ht="15.95" customHeight="1" x14ac:dyDescent="0.2">
      <c r="B444" s="45" t="s">
        <v>59</v>
      </c>
      <c r="C444" s="71" t="s">
        <v>5</v>
      </c>
      <c r="D444" s="47" t="s">
        <v>6</v>
      </c>
      <c r="E444" s="46"/>
      <c r="F444" s="46"/>
      <c r="G444" s="46"/>
      <c r="H444" s="47" t="s">
        <v>71</v>
      </c>
      <c r="I444" s="90" t="s">
        <v>65</v>
      </c>
    </row>
    <row r="445" spans="1:9" ht="15.95" customHeight="1" x14ac:dyDescent="0.2">
      <c r="B445" s="48"/>
      <c r="C445" s="47"/>
      <c r="D445" s="47"/>
      <c r="E445" s="46"/>
      <c r="F445" s="46"/>
      <c r="G445" s="46"/>
      <c r="H445" s="47"/>
      <c r="I445" s="90">
        <f>D445*H445</f>
        <v>0</v>
      </c>
    </row>
    <row r="446" spans="1:9" ht="15.95" customHeight="1" x14ac:dyDescent="0.2">
      <c r="B446" s="598" t="s">
        <v>69</v>
      </c>
      <c r="C446" s="598"/>
      <c r="D446" s="598"/>
      <c r="E446" s="598"/>
      <c r="F446" s="598"/>
      <c r="G446" s="598"/>
      <c r="H446" s="598"/>
      <c r="I446" s="90">
        <f>SUM(I445:I445)</f>
        <v>0</v>
      </c>
    </row>
    <row r="447" spans="1:9" s="128" customFormat="1" ht="30" customHeight="1" x14ac:dyDescent="0.2">
      <c r="B447" s="597" t="s">
        <v>74</v>
      </c>
      <c r="C447" s="597"/>
      <c r="D447" s="597"/>
      <c r="E447" s="597"/>
      <c r="F447" s="597"/>
      <c r="G447" s="597"/>
      <c r="H447" s="597"/>
      <c r="I447" s="597"/>
    </row>
    <row r="448" spans="1:9" ht="15.95" customHeight="1" x14ac:dyDescent="0.2">
      <c r="B448" s="181" t="s">
        <v>59</v>
      </c>
      <c r="C448" s="182" t="s">
        <v>5</v>
      </c>
      <c r="D448" s="145" t="s">
        <v>6</v>
      </c>
      <c r="E448" s="46"/>
      <c r="F448" s="46"/>
      <c r="G448" s="46"/>
      <c r="H448" s="47" t="s">
        <v>71</v>
      </c>
      <c r="I448" s="90" t="s">
        <v>65</v>
      </c>
    </row>
    <row r="449" spans="2:9" ht="15.95" customHeight="1" x14ac:dyDescent="0.2">
      <c r="B449" s="99" t="s">
        <v>111</v>
      </c>
      <c r="C449" s="83" t="s">
        <v>67</v>
      </c>
      <c r="D449" s="49">
        <v>1</v>
      </c>
      <c r="E449" s="50"/>
      <c r="F449" s="50"/>
      <c r="G449" s="50"/>
      <c r="H449" s="56">
        <f>INSUMOS!E17</f>
        <v>8.52</v>
      </c>
      <c r="I449" s="87">
        <f>H449*D449</f>
        <v>8.52</v>
      </c>
    </row>
    <row r="450" spans="2:9" ht="15.95" customHeight="1" x14ac:dyDescent="0.2">
      <c r="B450" s="91" t="s">
        <v>75</v>
      </c>
      <c r="C450" s="71" t="s">
        <v>67</v>
      </c>
      <c r="D450" s="47">
        <v>4</v>
      </c>
      <c r="E450" s="46"/>
      <c r="F450" s="46"/>
      <c r="G450" s="46"/>
      <c r="H450" s="56">
        <f>INSUMOS!E14</f>
        <v>3.42</v>
      </c>
      <c r="I450" s="90">
        <f>H450*D450</f>
        <v>13.68</v>
      </c>
    </row>
    <row r="451" spans="2:9" ht="15.95" customHeight="1" x14ac:dyDescent="0.2">
      <c r="B451" s="599" t="s">
        <v>641</v>
      </c>
      <c r="C451" s="599"/>
      <c r="D451" s="599"/>
      <c r="E451" s="599"/>
      <c r="F451" s="599"/>
      <c r="G451" s="599"/>
      <c r="H451" s="599"/>
      <c r="I451" s="90">
        <f>SUM(I449:I450)*0.9103</f>
        <v>20.21</v>
      </c>
    </row>
    <row r="452" spans="2:9" ht="15.95" customHeight="1" x14ac:dyDescent="0.2">
      <c r="B452" s="598" t="s">
        <v>69</v>
      </c>
      <c r="C452" s="598"/>
      <c r="D452" s="598"/>
      <c r="E452" s="598"/>
      <c r="F452" s="598"/>
      <c r="G452" s="598"/>
      <c r="H452" s="598"/>
      <c r="I452" s="95">
        <f>SUM(I449:I451)</f>
        <v>42.41</v>
      </c>
    </row>
    <row r="453" spans="2:9" ht="15.95" customHeight="1" x14ac:dyDescent="0.2">
      <c r="B453" s="148" t="s">
        <v>76</v>
      </c>
      <c r="C453" s="149">
        <v>1</v>
      </c>
      <c r="D453" s="671" t="s">
        <v>77</v>
      </c>
      <c r="E453" s="672"/>
      <c r="F453" s="672"/>
      <c r="G453" s="672"/>
      <c r="H453" s="673"/>
      <c r="I453" s="95">
        <f>I437+I442+I446+I452</f>
        <v>183.64</v>
      </c>
    </row>
    <row r="454" spans="2:9" ht="15.95" customHeight="1" x14ac:dyDescent="0.2">
      <c r="B454" s="593"/>
      <c r="C454" s="594"/>
      <c r="D454" s="594"/>
      <c r="E454" s="594"/>
      <c r="F454" s="594"/>
      <c r="G454" s="594"/>
      <c r="H454" s="595"/>
      <c r="I454" s="95">
        <f>I453/C453</f>
        <v>183.64</v>
      </c>
    </row>
    <row r="455" spans="2:9" ht="15.95" customHeight="1" x14ac:dyDescent="0.2">
      <c r="B455" s="140" t="s">
        <v>346</v>
      </c>
      <c r="C455" s="146">
        <v>25</v>
      </c>
      <c r="D455" s="147" t="s">
        <v>272</v>
      </c>
      <c r="E455" s="137"/>
      <c r="F455" s="137"/>
      <c r="G455" s="137"/>
      <c r="H455" s="138"/>
      <c r="I455" s="90">
        <f>C455/100*I454</f>
        <v>45.91</v>
      </c>
    </row>
    <row r="456" spans="2:9" s="128" customFormat="1" ht="30" customHeight="1" thickBot="1" x14ac:dyDescent="0.25">
      <c r="B456" s="596" t="s">
        <v>78</v>
      </c>
      <c r="C456" s="596"/>
      <c r="D456" s="596"/>
      <c r="E456" s="596"/>
      <c r="F456" s="596"/>
      <c r="G456" s="596"/>
      <c r="H456" s="596"/>
      <c r="I456" s="136">
        <f>SUM(I454:I455)</f>
        <v>229.55</v>
      </c>
    </row>
    <row r="462" spans="2:9" ht="13.5" thickBot="1" x14ac:dyDescent="0.25"/>
    <row r="463" spans="2:9" s="128" customFormat="1" ht="30" customHeight="1" x14ac:dyDescent="0.2">
      <c r="B463" s="202" t="s">
        <v>55</v>
      </c>
      <c r="C463" s="488" t="str">
        <f>PERFURAÇÃO!B32</f>
        <v>2.10</v>
      </c>
      <c r="D463" s="665" t="s">
        <v>56</v>
      </c>
      <c r="E463" s="665"/>
      <c r="F463" s="665"/>
      <c r="G463" s="665"/>
      <c r="H463" s="665"/>
      <c r="I463" s="665"/>
    </row>
    <row r="464" spans="2:9" s="128" customFormat="1" ht="30" customHeight="1" x14ac:dyDescent="0.2">
      <c r="B464" s="666" t="s">
        <v>344</v>
      </c>
      <c r="C464" s="667"/>
      <c r="D464" s="667"/>
      <c r="E464" s="667"/>
      <c r="F464" s="667"/>
      <c r="G464" s="668"/>
      <c r="H464" s="669" t="s">
        <v>568</v>
      </c>
      <c r="I464" s="670"/>
    </row>
    <row r="465" spans="1:11" s="128" customFormat="1" ht="30" customHeight="1" x14ac:dyDescent="0.2">
      <c r="B465" s="694" t="s">
        <v>417</v>
      </c>
      <c r="C465" s="632"/>
      <c r="D465" s="632"/>
      <c r="E465" s="632"/>
      <c r="F465" s="632"/>
      <c r="G465" s="633"/>
      <c r="H465" s="34" t="s">
        <v>57</v>
      </c>
      <c r="I465" s="127" t="s">
        <v>398</v>
      </c>
    </row>
    <row r="466" spans="1:11" s="128" customFormat="1" ht="30" customHeight="1" x14ac:dyDescent="0.2">
      <c r="B466" s="597" t="s">
        <v>58</v>
      </c>
      <c r="C466" s="597"/>
      <c r="D466" s="597"/>
      <c r="E466" s="597"/>
      <c r="F466" s="597"/>
      <c r="G466" s="597"/>
      <c r="H466" s="597"/>
      <c r="I466" s="597"/>
    </row>
    <row r="467" spans="1:11" ht="25.5" x14ac:dyDescent="0.2">
      <c r="A467" s="93"/>
      <c r="B467" s="35" t="s">
        <v>59</v>
      </c>
      <c r="C467" s="173" t="s">
        <v>5</v>
      </c>
      <c r="D467" s="36" t="s">
        <v>6</v>
      </c>
      <c r="E467" s="36" t="s">
        <v>61</v>
      </c>
      <c r="F467" s="36" t="s">
        <v>62</v>
      </c>
      <c r="G467" s="36" t="s">
        <v>63</v>
      </c>
      <c r="H467" s="36" t="s">
        <v>64</v>
      </c>
      <c r="I467" s="37" t="s">
        <v>65</v>
      </c>
    </row>
    <row r="468" spans="1:11" ht="15.95" customHeight="1" x14ac:dyDescent="0.2">
      <c r="B468" s="97"/>
      <c r="C468" s="39"/>
      <c r="D468" s="141"/>
      <c r="E468" s="40"/>
      <c r="F468" s="40"/>
      <c r="G468" s="40"/>
      <c r="H468" s="40"/>
      <c r="I468" s="87">
        <f>D468*E468*G468+D468*F468*H468</f>
        <v>0</v>
      </c>
    </row>
    <row r="469" spans="1:11" ht="15.95" customHeight="1" x14ac:dyDescent="0.2">
      <c r="B469" s="598" t="s">
        <v>69</v>
      </c>
      <c r="C469" s="598"/>
      <c r="D469" s="598"/>
      <c r="E469" s="598"/>
      <c r="F469" s="598"/>
      <c r="G469" s="598"/>
      <c r="H469" s="598"/>
      <c r="I469" s="95">
        <f>SUM(I468:I468)</f>
        <v>0</v>
      </c>
    </row>
    <row r="470" spans="1:11" s="128" customFormat="1" ht="30" customHeight="1" x14ac:dyDescent="0.2">
      <c r="B470" s="597" t="s">
        <v>70</v>
      </c>
      <c r="C470" s="597"/>
      <c r="D470" s="597"/>
      <c r="E470" s="597"/>
      <c r="F470" s="597"/>
      <c r="G470" s="597"/>
      <c r="H470" s="597"/>
      <c r="I470" s="597"/>
    </row>
    <row r="471" spans="1:11" ht="15.95" customHeight="1" x14ac:dyDescent="0.2">
      <c r="B471" s="96" t="s">
        <v>59</v>
      </c>
      <c r="C471" s="78" t="s">
        <v>5</v>
      </c>
      <c r="D471" s="40" t="s">
        <v>6</v>
      </c>
      <c r="E471" s="42"/>
      <c r="F471" s="42"/>
      <c r="G471" s="42"/>
      <c r="H471" s="40" t="s">
        <v>71</v>
      </c>
      <c r="I471" s="43" t="s">
        <v>65</v>
      </c>
    </row>
    <row r="472" spans="1:11" ht="15.95" customHeight="1" x14ac:dyDescent="0.2">
      <c r="B472" s="84" t="s">
        <v>418</v>
      </c>
      <c r="C472" s="146" t="s">
        <v>398</v>
      </c>
      <c r="D472" s="86">
        <v>1</v>
      </c>
      <c r="E472" s="50"/>
      <c r="F472" s="50"/>
      <c r="G472" s="50"/>
      <c r="H472" s="56">
        <f>INSUMOS!E92</f>
        <v>60.66</v>
      </c>
      <c r="I472" s="90">
        <f>H472*D472</f>
        <v>60.66</v>
      </c>
      <c r="K472" s="51" t="s">
        <v>109</v>
      </c>
    </row>
    <row r="473" spans="1:11" ht="15.95" customHeight="1" x14ac:dyDescent="0.2">
      <c r="B473" s="97" t="s">
        <v>108</v>
      </c>
      <c r="C473" s="88" t="s">
        <v>95</v>
      </c>
      <c r="D473" s="89">
        <v>0.01</v>
      </c>
      <c r="E473" s="46"/>
      <c r="F473" s="46"/>
      <c r="G473" s="46"/>
      <c r="H473" s="56">
        <f>INSUMOS!E33</f>
        <v>14.25</v>
      </c>
      <c r="I473" s="90">
        <f>H473*D473</f>
        <v>0.14000000000000001</v>
      </c>
    </row>
    <row r="474" spans="1:11" ht="15.95" customHeight="1" x14ac:dyDescent="0.2">
      <c r="B474" s="99" t="s">
        <v>419</v>
      </c>
      <c r="C474" s="146" t="s">
        <v>398</v>
      </c>
      <c r="D474" s="86">
        <v>1</v>
      </c>
      <c r="E474" s="50"/>
      <c r="F474" s="50"/>
      <c r="G474" s="50"/>
      <c r="H474" s="56">
        <f>INSUMOS!E95</f>
        <v>6.18</v>
      </c>
      <c r="I474" s="90">
        <f>H474*D474</f>
        <v>6.18</v>
      </c>
    </row>
    <row r="475" spans="1:11" ht="15.95" customHeight="1" x14ac:dyDescent="0.2">
      <c r="B475" s="598" t="s">
        <v>69</v>
      </c>
      <c r="C475" s="598"/>
      <c r="D475" s="598"/>
      <c r="E475" s="598"/>
      <c r="F475" s="598"/>
      <c r="G475" s="598"/>
      <c r="H475" s="598"/>
      <c r="I475" s="90">
        <f>SUM(I472:I474)</f>
        <v>66.98</v>
      </c>
    </row>
    <row r="476" spans="1:11" s="128" customFormat="1" ht="30" customHeight="1" x14ac:dyDescent="0.2">
      <c r="B476" s="597" t="s">
        <v>72</v>
      </c>
      <c r="C476" s="597"/>
      <c r="D476" s="597"/>
      <c r="E476" s="597"/>
      <c r="F476" s="597"/>
      <c r="G476" s="597"/>
      <c r="H476" s="597"/>
      <c r="I476" s="597"/>
    </row>
    <row r="477" spans="1:11" ht="15.95" customHeight="1" x14ac:dyDescent="0.2">
      <c r="B477" s="45" t="s">
        <v>59</v>
      </c>
      <c r="C477" s="57" t="s">
        <v>5</v>
      </c>
      <c r="D477" s="47" t="s">
        <v>6</v>
      </c>
      <c r="E477" s="46"/>
      <c r="F477" s="46"/>
      <c r="G477" s="46"/>
      <c r="H477" s="47" t="s">
        <v>71</v>
      </c>
      <c r="I477" s="43" t="s">
        <v>65</v>
      </c>
    </row>
    <row r="478" spans="1:11" ht="15.95" customHeight="1" x14ac:dyDescent="0.2">
      <c r="B478" s="48"/>
      <c r="C478" s="47"/>
      <c r="D478" s="47"/>
      <c r="E478" s="46"/>
      <c r="F478" s="46"/>
      <c r="G478" s="46"/>
      <c r="H478" s="47"/>
      <c r="I478" s="90">
        <f>D478*H478</f>
        <v>0</v>
      </c>
    </row>
    <row r="479" spans="1:11" ht="15.95" customHeight="1" x14ac:dyDescent="0.2">
      <c r="B479" s="598" t="s">
        <v>69</v>
      </c>
      <c r="C479" s="598"/>
      <c r="D479" s="598"/>
      <c r="E479" s="598"/>
      <c r="F479" s="598"/>
      <c r="G479" s="598"/>
      <c r="H479" s="598"/>
      <c r="I479" s="90">
        <f>SUM(I478:I478)</f>
        <v>0</v>
      </c>
    </row>
    <row r="480" spans="1:11" s="128" customFormat="1" ht="30" customHeight="1" x14ac:dyDescent="0.2">
      <c r="B480" s="597" t="s">
        <v>74</v>
      </c>
      <c r="C480" s="597"/>
      <c r="D480" s="597"/>
      <c r="E480" s="597"/>
      <c r="F480" s="597"/>
      <c r="G480" s="597"/>
      <c r="H480" s="597"/>
      <c r="I480" s="597"/>
    </row>
    <row r="481" spans="2:9" ht="15.95" customHeight="1" x14ac:dyDescent="0.2">
      <c r="B481" s="96" t="s">
        <v>59</v>
      </c>
      <c r="C481" s="78" t="s">
        <v>5</v>
      </c>
      <c r="D481" s="110" t="s">
        <v>6</v>
      </c>
      <c r="E481" s="42"/>
      <c r="F481" s="42"/>
      <c r="G481" s="42"/>
      <c r="H481" s="40" t="s">
        <v>71</v>
      </c>
      <c r="I481" s="43" t="s">
        <v>65</v>
      </c>
    </row>
    <row r="482" spans="2:9" ht="15.95" customHeight="1" x14ac:dyDescent="0.2">
      <c r="B482" s="53" t="s">
        <v>100</v>
      </c>
      <c r="C482" s="57" t="s">
        <v>67</v>
      </c>
      <c r="D482" s="40">
        <v>0.1</v>
      </c>
      <c r="E482" s="42"/>
      <c r="F482" s="42"/>
      <c r="G482" s="42"/>
      <c r="H482" s="52">
        <f>INSUMOS!E17</f>
        <v>8.52</v>
      </c>
      <c r="I482" s="90">
        <f>H482*D482</f>
        <v>0.85</v>
      </c>
    </row>
    <row r="483" spans="2:9" ht="15.95" customHeight="1" x14ac:dyDescent="0.2">
      <c r="B483" s="91" t="s">
        <v>75</v>
      </c>
      <c r="C483" s="57" t="s">
        <v>67</v>
      </c>
      <c r="D483" s="40">
        <v>0.1</v>
      </c>
      <c r="E483" s="42"/>
      <c r="F483" s="42"/>
      <c r="G483" s="42"/>
      <c r="H483" s="52">
        <f>INSUMOS!E14</f>
        <v>3.42</v>
      </c>
      <c r="I483" s="90">
        <f>H483*D483</f>
        <v>0.34</v>
      </c>
    </row>
    <row r="484" spans="2:9" ht="15.95" customHeight="1" x14ac:dyDescent="0.2">
      <c r="B484" s="599" t="s">
        <v>641</v>
      </c>
      <c r="C484" s="599"/>
      <c r="D484" s="599"/>
      <c r="E484" s="599"/>
      <c r="F484" s="599"/>
      <c r="G484" s="599"/>
      <c r="H484" s="599"/>
      <c r="I484" s="90">
        <f>SUM(I482:I483)*0.9103</f>
        <v>1.08</v>
      </c>
    </row>
    <row r="485" spans="2:9" ht="15.95" customHeight="1" x14ac:dyDescent="0.2">
      <c r="B485" s="598" t="s">
        <v>69</v>
      </c>
      <c r="C485" s="598"/>
      <c r="D485" s="598"/>
      <c r="E485" s="598"/>
      <c r="F485" s="598"/>
      <c r="G485" s="598"/>
      <c r="H485" s="598"/>
      <c r="I485" s="95">
        <f>SUM(I482:I484)</f>
        <v>2.27</v>
      </c>
    </row>
    <row r="486" spans="2:9" ht="15.95" customHeight="1" x14ac:dyDescent="0.2">
      <c r="B486" s="148" t="s">
        <v>76</v>
      </c>
      <c r="C486" s="149">
        <v>1</v>
      </c>
      <c r="D486" s="671" t="s">
        <v>77</v>
      </c>
      <c r="E486" s="672"/>
      <c r="F486" s="672"/>
      <c r="G486" s="672"/>
      <c r="H486" s="673"/>
      <c r="I486" s="95">
        <f>I469+I475+I479+I485</f>
        <v>69.25</v>
      </c>
    </row>
    <row r="487" spans="2:9" ht="15.95" customHeight="1" x14ac:dyDescent="0.2">
      <c r="B487" s="593"/>
      <c r="C487" s="594"/>
      <c r="D487" s="594"/>
      <c r="E487" s="594"/>
      <c r="F487" s="594"/>
      <c r="G487" s="594"/>
      <c r="H487" s="595"/>
      <c r="I487" s="95">
        <f>I486/C486</f>
        <v>69.25</v>
      </c>
    </row>
    <row r="488" spans="2:9" ht="15.95" customHeight="1" x14ac:dyDescent="0.2">
      <c r="B488" s="140" t="s">
        <v>346</v>
      </c>
      <c r="C488" s="146">
        <v>25</v>
      </c>
      <c r="D488" s="147" t="s">
        <v>272</v>
      </c>
      <c r="E488" s="137"/>
      <c r="F488" s="137"/>
      <c r="G488" s="137"/>
      <c r="H488" s="138"/>
      <c r="I488" s="90">
        <f>C488/100*I487</f>
        <v>17.309999999999999</v>
      </c>
    </row>
    <row r="489" spans="2:9" s="128" customFormat="1" ht="30" customHeight="1" thickBot="1" x14ac:dyDescent="0.25">
      <c r="B489" s="596" t="s">
        <v>78</v>
      </c>
      <c r="C489" s="596"/>
      <c r="D489" s="596"/>
      <c r="E489" s="596"/>
      <c r="F489" s="596"/>
      <c r="G489" s="596"/>
      <c r="H489" s="596"/>
      <c r="I489" s="136">
        <f>SUM(I487:I488)</f>
        <v>86.56</v>
      </c>
    </row>
    <row r="496" spans="2:9" ht="13.5" thickBot="1" x14ac:dyDescent="0.25"/>
    <row r="497" spans="1:9" s="128" customFormat="1" ht="30" customHeight="1" x14ac:dyDescent="0.2">
      <c r="B497" s="202" t="s">
        <v>55</v>
      </c>
      <c r="C497" s="488" t="str">
        <f>PERFURAÇÃO!B33</f>
        <v>2.11</v>
      </c>
      <c r="D497" s="665" t="s">
        <v>56</v>
      </c>
      <c r="E497" s="665"/>
      <c r="F497" s="665"/>
      <c r="G497" s="665"/>
      <c r="H497" s="665"/>
      <c r="I497" s="665"/>
    </row>
    <row r="498" spans="1:9" s="128" customFormat="1" ht="30" customHeight="1" x14ac:dyDescent="0.2">
      <c r="B498" s="666" t="s">
        <v>344</v>
      </c>
      <c r="C498" s="667"/>
      <c r="D498" s="667"/>
      <c r="E498" s="667"/>
      <c r="F498" s="667"/>
      <c r="G498" s="668"/>
      <c r="H498" s="669" t="s">
        <v>568</v>
      </c>
      <c r="I498" s="670"/>
    </row>
    <row r="499" spans="1:9" s="128" customFormat="1" ht="30" customHeight="1" x14ac:dyDescent="0.2">
      <c r="B499" s="685" t="s">
        <v>363</v>
      </c>
      <c r="C499" s="685"/>
      <c r="D499" s="685"/>
      <c r="E499" s="685"/>
      <c r="F499" s="685"/>
      <c r="G499" s="685"/>
      <c r="H499" s="34" t="s">
        <v>57</v>
      </c>
      <c r="I499" s="127" t="s">
        <v>398</v>
      </c>
    </row>
    <row r="500" spans="1:9" s="128" customFormat="1" ht="30" customHeight="1" x14ac:dyDescent="0.2">
      <c r="B500" s="597" t="s">
        <v>58</v>
      </c>
      <c r="C500" s="597"/>
      <c r="D500" s="597"/>
      <c r="E500" s="597"/>
      <c r="F500" s="597"/>
      <c r="G500" s="597"/>
      <c r="H500" s="597"/>
      <c r="I500" s="597"/>
    </row>
    <row r="501" spans="1:9" ht="25.5" x14ac:dyDescent="0.2">
      <c r="A501" s="93"/>
      <c r="B501" s="35" t="s">
        <v>59</v>
      </c>
      <c r="C501" s="173" t="s">
        <v>5</v>
      </c>
      <c r="D501" s="36" t="s">
        <v>6</v>
      </c>
      <c r="E501" s="36" t="s">
        <v>61</v>
      </c>
      <c r="F501" s="36" t="s">
        <v>62</v>
      </c>
      <c r="G501" s="36" t="s">
        <v>63</v>
      </c>
      <c r="H501" s="36" t="s">
        <v>64</v>
      </c>
      <c r="I501" s="37" t="s">
        <v>65</v>
      </c>
    </row>
    <row r="502" spans="1:9" ht="15.95" customHeight="1" x14ac:dyDescent="0.2">
      <c r="B502" s="84" t="s">
        <v>103</v>
      </c>
      <c r="C502" s="85" t="s">
        <v>67</v>
      </c>
      <c r="D502" s="243">
        <v>2</v>
      </c>
      <c r="E502" s="49"/>
      <c r="F502" s="49"/>
      <c r="G502" s="56">
        <f>INSUMOS!E102</f>
        <v>12.39</v>
      </c>
      <c r="I502" s="90">
        <f>G502*D502</f>
        <v>24.78</v>
      </c>
    </row>
    <row r="503" spans="1:9" ht="17.25" customHeight="1" x14ac:dyDescent="0.2">
      <c r="B503" s="598" t="s">
        <v>69</v>
      </c>
      <c r="C503" s="598"/>
      <c r="D503" s="598"/>
      <c r="E503" s="598"/>
      <c r="F503" s="598"/>
      <c r="G503" s="598"/>
      <c r="H503" s="598"/>
      <c r="I503" s="95">
        <f>SUM(I502:I502)</f>
        <v>24.78</v>
      </c>
    </row>
    <row r="504" spans="1:9" s="128" customFormat="1" ht="30" customHeight="1" x14ac:dyDescent="0.2">
      <c r="B504" s="597" t="s">
        <v>70</v>
      </c>
      <c r="C504" s="597"/>
      <c r="D504" s="597"/>
      <c r="E504" s="597"/>
      <c r="F504" s="597"/>
      <c r="G504" s="597"/>
      <c r="H504" s="597"/>
      <c r="I504" s="597"/>
    </row>
    <row r="505" spans="1:9" ht="15.95" customHeight="1" x14ac:dyDescent="0.2">
      <c r="B505" s="181" t="s">
        <v>59</v>
      </c>
      <c r="C505" s="182" t="s">
        <v>5</v>
      </c>
      <c r="D505" s="47" t="s">
        <v>6</v>
      </c>
      <c r="E505" s="46"/>
      <c r="F505" s="46"/>
      <c r="G505" s="46"/>
      <c r="H505" s="47" t="s">
        <v>71</v>
      </c>
      <c r="I505" s="90" t="s">
        <v>65</v>
      </c>
    </row>
    <row r="506" spans="1:9" ht="15.95" customHeight="1" x14ac:dyDescent="0.2">
      <c r="B506" s="97" t="s">
        <v>99</v>
      </c>
      <c r="C506" s="88" t="s">
        <v>95</v>
      </c>
      <c r="D506" s="89">
        <v>9</v>
      </c>
      <c r="E506" s="46"/>
      <c r="F506" s="46"/>
      <c r="G506" s="46"/>
      <c r="H506" s="56">
        <f>INSUMOS!E32</f>
        <v>2.38</v>
      </c>
      <c r="I506" s="90">
        <f>H506*D506</f>
        <v>21.42</v>
      </c>
    </row>
    <row r="507" spans="1:9" ht="15.95" customHeight="1" x14ac:dyDescent="0.2">
      <c r="B507" s="97" t="s">
        <v>110</v>
      </c>
      <c r="C507" s="241" t="s">
        <v>95</v>
      </c>
      <c r="D507" s="242">
        <v>0.23</v>
      </c>
      <c r="E507" s="139"/>
      <c r="F507" s="46"/>
      <c r="G507" s="46"/>
      <c r="H507" s="56">
        <f>INSUMOS!E33</f>
        <v>14.25</v>
      </c>
      <c r="I507" s="90">
        <f>H507*D507</f>
        <v>3.28</v>
      </c>
    </row>
    <row r="508" spans="1:9" ht="15.95" customHeight="1" x14ac:dyDescent="0.2">
      <c r="B508" s="240" t="s">
        <v>364</v>
      </c>
      <c r="C508" s="146" t="s">
        <v>95</v>
      </c>
      <c r="D508" s="166">
        <v>0.4</v>
      </c>
      <c r="E508" s="167"/>
      <c r="F508" s="238"/>
      <c r="G508" s="238"/>
      <c r="H508" s="239">
        <f>INSUMOS!E35</f>
        <v>4.13</v>
      </c>
      <c r="I508" s="90">
        <f>H508*D508</f>
        <v>1.65</v>
      </c>
    </row>
    <row r="509" spans="1:9" ht="15.95" customHeight="1" x14ac:dyDescent="0.2">
      <c r="B509" s="598" t="s">
        <v>69</v>
      </c>
      <c r="C509" s="646"/>
      <c r="D509" s="646"/>
      <c r="E509" s="646"/>
      <c r="F509" s="598"/>
      <c r="G509" s="598"/>
      <c r="H509" s="598"/>
      <c r="I509" s="90">
        <f>SUM(I506:I508)</f>
        <v>26.35</v>
      </c>
    </row>
    <row r="510" spans="1:9" s="128" customFormat="1" ht="30" customHeight="1" x14ac:dyDescent="0.2">
      <c r="B510" s="597" t="s">
        <v>72</v>
      </c>
      <c r="C510" s="597"/>
      <c r="D510" s="597"/>
      <c r="E510" s="597"/>
      <c r="F510" s="597"/>
      <c r="G510" s="597"/>
      <c r="H510" s="597"/>
      <c r="I510" s="597"/>
    </row>
    <row r="511" spans="1:9" ht="15.95" customHeight="1" x14ac:dyDescent="0.2">
      <c r="B511" s="45" t="s">
        <v>59</v>
      </c>
      <c r="C511" s="57" t="s">
        <v>5</v>
      </c>
      <c r="D511" s="47" t="s">
        <v>6</v>
      </c>
      <c r="E511" s="46"/>
      <c r="F511" s="46"/>
      <c r="G511" s="46"/>
      <c r="H511" s="47" t="s">
        <v>71</v>
      </c>
      <c r="I511" s="43" t="s">
        <v>65</v>
      </c>
    </row>
    <row r="512" spans="1:9" ht="15.95" customHeight="1" x14ac:dyDescent="0.2">
      <c r="B512" s="48"/>
      <c r="C512" s="47"/>
      <c r="D512" s="47"/>
      <c r="E512" s="46"/>
      <c r="F512" s="46"/>
      <c r="G512" s="46"/>
      <c r="H512" s="47"/>
      <c r="I512" s="90">
        <f>D512*H512</f>
        <v>0</v>
      </c>
    </row>
    <row r="513" spans="2:9" ht="15.95" customHeight="1" x14ac:dyDescent="0.2">
      <c r="B513" s="598" t="s">
        <v>69</v>
      </c>
      <c r="C513" s="598"/>
      <c r="D513" s="598"/>
      <c r="E513" s="598"/>
      <c r="F513" s="598"/>
      <c r="G513" s="598"/>
      <c r="H513" s="598"/>
      <c r="I513" s="90">
        <f>SUM(I512:I512)</f>
        <v>0</v>
      </c>
    </row>
    <row r="514" spans="2:9" s="128" customFormat="1" ht="30" customHeight="1" x14ac:dyDescent="0.2">
      <c r="B514" s="597" t="s">
        <v>74</v>
      </c>
      <c r="C514" s="597"/>
      <c r="D514" s="597"/>
      <c r="E514" s="597"/>
      <c r="F514" s="597"/>
      <c r="G514" s="597"/>
      <c r="H514" s="597"/>
      <c r="I514" s="597"/>
    </row>
    <row r="515" spans="2:9" ht="15.95" customHeight="1" x14ac:dyDescent="0.2">
      <c r="B515" s="181" t="s">
        <v>59</v>
      </c>
      <c r="C515" s="182" t="s">
        <v>5</v>
      </c>
      <c r="D515" s="145" t="s">
        <v>6</v>
      </c>
      <c r="E515" s="46"/>
      <c r="F515" s="46"/>
      <c r="G515" s="46"/>
      <c r="H515" s="47" t="s">
        <v>71</v>
      </c>
      <c r="I515" s="90" t="s">
        <v>65</v>
      </c>
    </row>
    <row r="516" spans="2:9" ht="15.95" customHeight="1" x14ac:dyDescent="0.2">
      <c r="B516" s="99" t="s">
        <v>111</v>
      </c>
      <c r="C516" s="83" t="s">
        <v>67</v>
      </c>
      <c r="D516" s="49">
        <v>0.5</v>
      </c>
      <c r="E516" s="50"/>
      <c r="F516" s="50"/>
      <c r="G516" s="50"/>
      <c r="H516" s="56">
        <f>INSUMOS!E23</f>
        <v>7.66</v>
      </c>
      <c r="I516" s="87">
        <f>H516*D516</f>
        <v>3.83</v>
      </c>
    </row>
    <row r="517" spans="2:9" ht="15.95" customHeight="1" x14ac:dyDescent="0.2">
      <c r="B517" s="91" t="s">
        <v>75</v>
      </c>
      <c r="C517" s="71" t="s">
        <v>67</v>
      </c>
      <c r="D517" s="47">
        <v>2</v>
      </c>
      <c r="E517" s="46"/>
      <c r="F517" s="46"/>
      <c r="G517" s="46"/>
      <c r="H517" s="56">
        <f>INSUMOS!E14</f>
        <v>3.42</v>
      </c>
      <c r="I517" s="90">
        <f>H517*D517</f>
        <v>6.84</v>
      </c>
    </row>
    <row r="518" spans="2:9" ht="15.95" customHeight="1" x14ac:dyDescent="0.2">
      <c r="B518" s="599" t="s">
        <v>641</v>
      </c>
      <c r="C518" s="599"/>
      <c r="D518" s="599"/>
      <c r="E518" s="599"/>
      <c r="F518" s="599"/>
      <c r="G518" s="599"/>
      <c r="H518" s="599"/>
      <c r="I518" s="90">
        <f>SUM(I516:I517)*0.9103</f>
        <v>9.7100000000000009</v>
      </c>
    </row>
    <row r="519" spans="2:9" ht="15.95" customHeight="1" x14ac:dyDescent="0.2">
      <c r="B519" s="598" t="s">
        <v>69</v>
      </c>
      <c r="C519" s="598"/>
      <c r="D519" s="598"/>
      <c r="E519" s="598"/>
      <c r="F519" s="598"/>
      <c r="G519" s="598"/>
      <c r="H519" s="598"/>
      <c r="I519" s="95">
        <f>SUM(I516:I518)</f>
        <v>20.38</v>
      </c>
    </row>
    <row r="520" spans="2:9" ht="15.95" customHeight="1" x14ac:dyDescent="0.2">
      <c r="B520" s="148" t="s">
        <v>76</v>
      </c>
      <c r="C520" s="149">
        <v>1</v>
      </c>
      <c r="D520" s="671" t="s">
        <v>77</v>
      </c>
      <c r="E520" s="672"/>
      <c r="F520" s="672"/>
      <c r="G520" s="672"/>
      <c r="H520" s="673"/>
      <c r="I520" s="95">
        <f>I503+I509+I513+I519</f>
        <v>71.510000000000005</v>
      </c>
    </row>
    <row r="521" spans="2:9" ht="15.95" customHeight="1" x14ac:dyDescent="0.2">
      <c r="B521" s="593"/>
      <c r="C521" s="594"/>
      <c r="D521" s="594"/>
      <c r="E521" s="594"/>
      <c r="F521" s="594"/>
      <c r="G521" s="594"/>
      <c r="H521" s="595"/>
      <c r="I521" s="95">
        <f>I520/C520</f>
        <v>71.510000000000005</v>
      </c>
    </row>
    <row r="522" spans="2:9" ht="15.95" customHeight="1" x14ac:dyDescent="0.2">
      <c r="B522" s="140" t="s">
        <v>346</v>
      </c>
      <c r="C522" s="146">
        <v>25</v>
      </c>
      <c r="D522" s="147" t="s">
        <v>272</v>
      </c>
      <c r="E522" s="137"/>
      <c r="F522" s="137"/>
      <c r="G522" s="137"/>
      <c r="H522" s="138"/>
      <c r="I522" s="90">
        <f>C522/100*I521</f>
        <v>17.88</v>
      </c>
    </row>
    <row r="523" spans="2:9" s="128" customFormat="1" ht="30" customHeight="1" thickBot="1" x14ac:dyDescent="0.25">
      <c r="B523" s="596" t="s">
        <v>78</v>
      </c>
      <c r="C523" s="596"/>
      <c r="D523" s="596"/>
      <c r="E523" s="596"/>
      <c r="F523" s="596"/>
      <c r="G523" s="596"/>
      <c r="H523" s="596"/>
      <c r="I523" s="136">
        <f>SUM(I521:I522)</f>
        <v>89.39</v>
      </c>
    </row>
    <row r="530" spans="1:12" ht="13.5" thickBot="1" x14ac:dyDescent="0.25"/>
    <row r="531" spans="1:12" s="128" customFormat="1" ht="30" customHeight="1" x14ac:dyDescent="0.2">
      <c r="B531" s="202" t="s">
        <v>55</v>
      </c>
      <c r="C531" s="488" t="str">
        <f>PERFURAÇÃO!B34</f>
        <v>2.12</v>
      </c>
      <c r="D531" s="665" t="s">
        <v>56</v>
      </c>
      <c r="E531" s="665"/>
      <c r="F531" s="665"/>
      <c r="G531" s="665"/>
      <c r="H531" s="665"/>
      <c r="I531" s="665"/>
    </row>
    <row r="532" spans="1:12" s="128" customFormat="1" ht="30" customHeight="1" x14ac:dyDescent="0.2">
      <c r="B532" s="666" t="s">
        <v>344</v>
      </c>
      <c r="C532" s="667"/>
      <c r="D532" s="667"/>
      <c r="E532" s="667"/>
      <c r="F532" s="667"/>
      <c r="G532" s="668"/>
      <c r="H532" s="669" t="s">
        <v>568</v>
      </c>
      <c r="I532" s="670"/>
    </row>
    <row r="533" spans="1:12" s="128" customFormat="1" ht="30" customHeight="1" x14ac:dyDescent="0.2">
      <c r="B533" s="664" t="s">
        <v>443</v>
      </c>
      <c r="C533" s="664"/>
      <c r="D533" s="664"/>
      <c r="E533" s="664"/>
      <c r="F533" s="664"/>
      <c r="G533" s="664"/>
      <c r="H533" s="34" t="s">
        <v>57</v>
      </c>
      <c r="I533" s="127" t="s">
        <v>398</v>
      </c>
    </row>
    <row r="534" spans="1:12" s="128" customFormat="1" ht="30" customHeight="1" x14ac:dyDescent="0.2">
      <c r="B534" s="597" t="s">
        <v>58</v>
      </c>
      <c r="C534" s="597"/>
      <c r="D534" s="597"/>
      <c r="E534" s="597"/>
      <c r="F534" s="597"/>
      <c r="G534" s="597"/>
      <c r="H534" s="597"/>
      <c r="I534" s="597"/>
    </row>
    <row r="535" spans="1:12" ht="25.5" customHeight="1" x14ac:dyDescent="0.2">
      <c r="A535" s="93"/>
      <c r="B535" s="35" t="s">
        <v>59</v>
      </c>
      <c r="C535" s="173" t="s">
        <v>5</v>
      </c>
      <c r="D535" s="36" t="s">
        <v>6</v>
      </c>
      <c r="E535" s="36" t="s">
        <v>61</v>
      </c>
      <c r="F535" s="36" t="s">
        <v>62</v>
      </c>
      <c r="G535" s="36" t="s">
        <v>63</v>
      </c>
      <c r="H535" s="36" t="s">
        <v>64</v>
      </c>
      <c r="I535" s="37" t="s">
        <v>65</v>
      </c>
    </row>
    <row r="536" spans="1:12" ht="15.95" customHeight="1" x14ac:dyDescent="0.2">
      <c r="B536" s="84" t="s">
        <v>112</v>
      </c>
      <c r="C536" s="85" t="s">
        <v>67</v>
      </c>
      <c r="D536" s="86">
        <v>4</v>
      </c>
      <c r="E536" s="49"/>
      <c r="F536" s="49"/>
      <c r="G536" s="56">
        <f>INSUMOS!E87</f>
        <v>8.27</v>
      </c>
      <c r="I536" s="87">
        <f>G536*D536</f>
        <v>33.08</v>
      </c>
    </row>
    <row r="537" spans="1:12" ht="15.95" customHeight="1" x14ac:dyDescent="0.2">
      <c r="B537" s="598" t="s">
        <v>69</v>
      </c>
      <c r="C537" s="598"/>
      <c r="D537" s="598"/>
      <c r="E537" s="598"/>
      <c r="F537" s="598"/>
      <c r="G537" s="598"/>
      <c r="H537" s="598"/>
      <c r="I537" s="95">
        <f>SUM(I536:I536)</f>
        <v>33.08</v>
      </c>
    </row>
    <row r="538" spans="1:12" s="128" customFormat="1" ht="30" customHeight="1" x14ac:dyDescent="0.2">
      <c r="B538" s="597" t="s">
        <v>70</v>
      </c>
      <c r="C538" s="597"/>
      <c r="D538" s="597"/>
      <c r="E538" s="597"/>
      <c r="F538" s="597"/>
      <c r="G538" s="597"/>
      <c r="H538" s="597"/>
      <c r="I538" s="597"/>
    </row>
    <row r="539" spans="1:12" x14ac:dyDescent="0.2">
      <c r="B539" s="96" t="s">
        <v>59</v>
      </c>
      <c r="C539" s="78" t="s">
        <v>5</v>
      </c>
      <c r="D539" s="40" t="s">
        <v>6</v>
      </c>
      <c r="E539" s="42"/>
      <c r="F539" s="42"/>
      <c r="G539" s="42"/>
      <c r="H539" s="40" t="s">
        <v>71</v>
      </c>
      <c r="I539" s="43" t="s">
        <v>65</v>
      </c>
    </row>
    <row r="540" spans="1:12" x14ac:dyDescent="0.2">
      <c r="B540" s="97"/>
      <c r="C540" s="88"/>
      <c r="D540" s="89"/>
      <c r="E540" s="46"/>
      <c r="F540" s="46"/>
      <c r="G540" s="46"/>
      <c r="H540" s="47"/>
      <c r="I540" s="90">
        <f>H540*D540</f>
        <v>0</v>
      </c>
    </row>
    <row r="541" spans="1:12" x14ac:dyDescent="0.2">
      <c r="B541" s="598" t="s">
        <v>69</v>
      </c>
      <c r="C541" s="598"/>
      <c r="D541" s="598"/>
      <c r="E541" s="598"/>
      <c r="F541" s="598"/>
      <c r="G541" s="598"/>
      <c r="H541" s="598"/>
      <c r="I541" s="90">
        <f>SUM(I540:I540)</f>
        <v>0</v>
      </c>
    </row>
    <row r="542" spans="1:12" s="128" customFormat="1" ht="30" customHeight="1" x14ac:dyDescent="0.2">
      <c r="B542" s="597" t="s">
        <v>72</v>
      </c>
      <c r="C542" s="597"/>
      <c r="D542" s="597"/>
      <c r="E542" s="597"/>
      <c r="F542" s="597"/>
      <c r="G542" s="597"/>
      <c r="H542" s="597"/>
      <c r="I542" s="597"/>
    </row>
    <row r="543" spans="1:12" ht="15.95" customHeight="1" x14ac:dyDescent="0.2">
      <c r="B543" s="45" t="s">
        <v>59</v>
      </c>
      <c r="C543" s="71" t="s">
        <v>5</v>
      </c>
      <c r="D543" s="47" t="s">
        <v>6</v>
      </c>
      <c r="E543" s="46"/>
      <c r="F543" s="46"/>
      <c r="G543" s="46"/>
      <c r="H543" s="47" t="s">
        <v>71</v>
      </c>
      <c r="I543" s="90" t="s">
        <v>65</v>
      </c>
    </row>
    <row r="544" spans="1:12" ht="15.95" customHeight="1" x14ac:dyDescent="0.2">
      <c r="B544" s="84" t="s">
        <v>113</v>
      </c>
      <c r="C544" s="146" t="s">
        <v>398</v>
      </c>
      <c r="D544" s="49">
        <v>1</v>
      </c>
      <c r="E544" s="50"/>
      <c r="F544" s="50"/>
      <c r="G544" s="50"/>
      <c r="H544" s="56">
        <f>INSUMOS!E121</f>
        <v>300.95999999999998</v>
      </c>
      <c r="I544" s="87">
        <f>D544*H544</f>
        <v>300.95999999999998</v>
      </c>
      <c r="J544" s="51"/>
      <c r="L544" s="51"/>
    </row>
    <row r="545" spans="2:9" ht="15.95" customHeight="1" x14ac:dyDescent="0.2">
      <c r="B545" s="598" t="s">
        <v>69</v>
      </c>
      <c r="C545" s="598"/>
      <c r="D545" s="598"/>
      <c r="E545" s="598"/>
      <c r="F545" s="598"/>
      <c r="G545" s="598"/>
      <c r="H545" s="598"/>
      <c r="I545" s="90">
        <f>SUM(I544:I544)</f>
        <v>300.95999999999998</v>
      </c>
    </row>
    <row r="546" spans="2:9" s="128" customFormat="1" ht="30" customHeight="1" x14ac:dyDescent="0.2">
      <c r="B546" s="597" t="s">
        <v>74</v>
      </c>
      <c r="C546" s="597"/>
      <c r="D546" s="597"/>
      <c r="E546" s="597"/>
      <c r="F546" s="597"/>
      <c r="G546" s="597"/>
      <c r="H546" s="597"/>
      <c r="I546" s="597"/>
    </row>
    <row r="547" spans="2:9" ht="15.95" customHeight="1" x14ac:dyDescent="0.2">
      <c r="B547" s="96" t="s">
        <v>59</v>
      </c>
      <c r="C547" s="78" t="s">
        <v>5</v>
      </c>
      <c r="D547" s="110" t="s">
        <v>6</v>
      </c>
      <c r="E547" s="42"/>
      <c r="F547" s="42"/>
      <c r="G547" s="42"/>
      <c r="H547" s="40" t="s">
        <v>71</v>
      </c>
      <c r="I547" s="43" t="s">
        <v>65</v>
      </c>
    </row>
    <row r="548" spans="2:9" ht="15.95" customHeight="1" x14ac:dyDescent="0.2">
      <c r="B548" s="53" t="s">
        <v>101</v>
      </c>
      <c r="C548" s="71" t="s">
        <v>67</v>
      </c>
      <c r="D548" s="47">
        <v>4</v>
      </c>
      <c r="E548" s="42"/>
      <c r="F548" s="42"/>
      <c r="G548" s="42"/>
      <c r="H548" s="56">
        <f>INSUMOS!E13</f>
        <v>7.51</v>
      </c>
      <c r="I548" s="90">
        <f>H548*D548</f>
        <v>30.04</v>
      </c>
    </row>
    <row r="549" spans="2:9" ht="15.95" customHeight="1" x14ac:dyDescent="0.2">
      <c r="B549" s="91" t="s">
        <v>75</v>
      </c>
      <c r="C549" s="71" t="s">
        <v>67</v>
      </c>
      <c r="D549" s="47">
        <v>0.2</v>
      </c>
      <c r="E549" s="42"/>
      <c r="F549" s="42"/>
      <c r="G549" s="42"/>
      <c r="H549" s="56">
        <f>INSUMOS!E14</f>
        <v>3.42</v>
      </c>
      <c r="I549" s="90">
        <f>H549*D549</f>
        <v>0.68</v>
      </c>
    </row>
    <row r="550" spans="2:9" ht="15.95" customHeight="1" x14ac:dyDescent="0.2">
      <c r="B550" s="599" t="s">
        <v>641</v>
      </c>
      <c r="C550" s="599"/>
      <c r="D550" s="599"/>
      <c r="E550" s="599"/>
      <c r="F550" s="599"/>
      <c r="G550" s="599"/>
      <c r="H550" s="599"/>
      <c r="I550" s="90">
        <f>SUM(I548:I549)*0.9103</f>
        <v>27.96</v>
      </c>
    </row>
    <row r="551" spans="2:9" ht="15.95" customHeight="1" x14ac:dyDescent="0.2">
      <c r="B551" s="598" t="s">
        <v>69</v>
      </c>
      <c r="C551" s="598"/>
      <c r="D551" s="598"/>
      <c r="E551" s="598"/>
      <c r="F551" s="598"/>
      <c r="G551" s="598"/>
      <c r="H551" s="598"/>
      <c r="I551" s="95">
        <f>SUM(I548:I550)</f>
        <v>58.68</v>
      </c>
    </row>
    <row r="552" spans="2:9" ht="15.95" customHeight="1" x14ac:dyDescent="0.2">
      <c r="B552" s="148" t="s">
        <v>76</v>
      </c>
      <c r="C552" s="149">
        <v>1</v>
      </c>
      <c r="D552" s="671" t="s">
        <v>77</v>
      </c>
      <c r="E552" s="672"/>
      <c r="F552" s="672"/>
      <c r="G552" s="672"/>
      <c r="H552" s="673"/>
      <c r="I552" s="95">
        <f>I537+I541+I545+I551</f>
        <v>392.72</v>
      </c>
    </row>
    <row r="553" spans="2:9" ht="15.95" customHeight="1" x14ac:dyDescent="0.2">
      <c r="B553" s="593"/>
      <c r="C553" s="594"/>
      <c r="D553" s="594"/>
      <c r="E553" s="594"/>
      <c r="F553" s="594"/>
      <c r="G553" s="594"/>
      <c r="H553" s="595"/>
      <c r="I553" s="95">
        <f>I552/C552</f>
        <v>392.72</v>
      </c>
    </row>
    <row r="554" spans="2:9" ht="15.95" customHeight="1" x14ac:dyDescent="0.2">
      <c r="B554" s="140" t="s">
        <v>346</v>
      </c>
      <c r="C554" s="146">
        <v>25</v>
      </c>
      <c r="D554" s="147" t="s">
        <v>272</v>
      </c>
      <c r="E554" s="137"/>
      <c r="F554" s="137"/>
      <c r="G554" s="137"/>
      <c r="H554" s="138"/>
      <c r="I554" s="90">
        <f>C554/100*I553</f>
        <v>98.18</v>
      </c>
    </row>
    <row r="555" spans="2:9" s="128" customFormat="1" ht="30" customHeight="1" thickBot="1" x14ac:dyDescent="0.25">
      <c r="B555" s="596" t="s">
        <v>78</v>
      </c>
      <c r="C555" s="596"/>
      <c r="D555" s="596"/>
      <c r="E555" s="596"/>
      <c r="F555" s="596"/>
      <c r="G555" s="596"/>
      <c r="H555" s="596"/>
      <c r="I555" s="136">
        <f>SUM(I553:I554)</f>
        <v>490.9</v>
      </c>
    </row>
    <row r="561" spans="1:9" ht="13.5" thickBot="1" x14ac:dyDescent="0.25"/>
    <row r="562" spans="1:9" s="128" customFormat="1" ht="30" customHeight="1" x14ac:dyDescent="0.2">
      <c r="B562" s="202" t="s">
        <v>55</v>
      </c>
      <c r="C562" s="488" t="str">
        <f>PERFURAÇÃO!B35</f>
        <v>2.13</v>
      </c>
      <c r="D562" s="665" t="s">
        <v>56</v>
      </c>
      <c r="E562" s="665"/>
      <c r="F562" s="665"/>
      <c r="G562" s="665"/>
      <c r="H562" s="665"/>
      <c r="I562" s="665"/>
    </row>
    <row r="563" spans="1:9" s="128" customFormat="1" ht="30" customHeight="1" x14ac:dyDescent="0.2">
      <c r="B563" s="666" t="s">
        <v>344</v>
      </c>
      <c r="C563" s="667"/>
      <c r="D563" s="667"/>
      <c r="E563" s="667"/>
      <c r="F563" s="667"/>
      <c r="G563" s="668"/>
      <c r="H563" s="669" t="s">
        <v>568</v>
      </c>
      <c r="I563" s="670"/>
    </row>
    <row r="564" spans="1:9" s="128" customFormat="1" ht="30" customHeight="1" x14ac:dyDescent="0.2">
      <c r="B564" s="695" t="s">
        <v>440</v>
      </c>
      <c r="C564" s="696"/>
      <c r="D564" s="696"/>
      <c r="E564" s="696"/>
      <c r="F564" s="696"/>
      <c r="G564" s="697"/>
      <c r="H564" s="34" t="s">
        <v>57</v>
      </c>
      <c r="I564" s="127" t="s">
        <v>398</v>
      </c>
    </row>
    <row r="565" spans="1:9" s="128" customFormat="1" ht="30" customHeight="1" x14ac:dyDescent="0.2">
      <c r="B565" s="597" t="s">
        <v>58</v>
      </c>
      <c r="C565" s="597"/>
      <c r="D565" s="597"/>
      <c r="E565" s="597"/>
      <c r="F565" s="597"/>
      <c r="G565" s="597"/>
      <c r="H565" s="597"/>
      <c r="I565" s="597"/>
    </row>
    <row r="566" spans="1:9" ht="25.5" x14ac:dyDescent="0.2">
      <c r="A566" s="93"/>
      <c r="B566" s="35" t="s">
        <v>59</v>
      </c>
      <c r="C566" s="173" t="s">
        <v>5</v>
      </c>
      <c r="D566" s="36" t="s">
        <v>6</v>
      </c>
      <c r="E566" s="36" t="s">
        <v>61</v>
      </c>
      <c r="F566" s="36" t="s">
        <v>62</v>
      </c>
      <c r="G566" s="36" t="s">
        <v>63</v>
      </c>
      <c r="H566" s="36" t="s">
        <v>64</v>
      </c>
      <c r="I566" s="37" t="s">
        <v>65</v>
      </c>
    </row>
    <row r="567" spans="1:9" ht="15.95" customHeight="1" x14ac:dyDescent="0.2">
      <c r="B567" s="84" t="s">
        <v>103</v>
      </c>
      <c r="C567" s="85" t="s">
        <v>67</v>
      </c>
      <c r="D567" s="243">
        <v>4</v>
      </c>
      <c r="E567" s="58"/>
      <c r="F567" s="58"/>
      <c r="G567" s="56">
        <f>INSUMOS!E102</f>
        <v>12.39</v>
      </c>
      <c r="I567" s="90">
        <f>G567*D567</f>
        <v>49.56</v>
      </c>
    </row>
    <row r="568" spans="1:9" x14ac:dyDescent="0.2">
      <c r="B568" s="598" t="s">
        <v>69</v>
      </c>
      <c r="C568" s="598"/>
      <c r="D568" s="598"/>
      <c r="E568" s="598"/>
      <c r="F568" s="598"/>
      <c r="G568" s="598"/>
      <c r="H568" s="598"/>
      <c r="I568" s="95">
        <f>SUM(I567:I567)</f>
        <v>49.56</v>
      </c>
    </row>
    <row r="569" spans="1:9" s="128" customFormat="1" ht="30" customHeight="1" x14ac:dyDescent="0.2">
      <c r="B569" s="597" t="s">
        <v>70</v>
      </c>
      <c r="C569" s="597"/>
      <c r="D569" s="597"/>
      <c r="E569" s="597"/>
      <c r="F569" s="597"/>
      <c r="G569" s="597"/>
      <c r="H569" s="597"/>
      <c r="I569" s="597"/>
    </row>
    <row r="570" spans="1:9" ht="15.95" customHeight="1" x14ac:dyDescent="0.2">
      <c r="B570" s="96" t="s">
        <v>59</v>
      </c>
      <c r="C570" s="78" t="s">
        <v>5</v>
      </c>
      <c r="D570" s="40" t="s">
        <v>6</v>
      </c>
      <c r="E570" s="42"/>
      <c r="F570" s="42"/>
      <c r="G570" s="42"/>
      <c r="H570" s="40" t="s">
        <v>71</v>
      </c>
      <c r="I570" s="43" t="s">
        <v>65</v>
      </c>
    </row>
    <row r="571" spans="1:9" ht="15.95" customHeight="1" x14ac:dyDescent="0.2">
      <c r="B571" s="97" t="s">
        <v>99</v>
      </c>
      <c r="C571" s="88" t="s">
        <v>95</v>
      </c>
      <c r="D571" s="89">
        <v>9</v>
      </c>
      <c r="E571" s="46"/>
      <c r="F571" s="46"/>
      <c r="G571" s="46"/>
      <c r="H571" s="56">
        <f>INSUMOS!E32</f>
        <v>2.38</v>
      </c>
      <c r="I571" s="90">
        <f>H571*D571</f>
        <v>21.42</v>
      </c>
    </row>
    <row r="572" spans="1:9" ht="15.95" customHeight="1" x14ac:dyDescent="0.2">
      <c r="B572" s="97" t="s">
        <v>110</v>
      </c>
      <c r="C572" s="88" t="s">
        <v>95</v>
      </c>
      <c r="D572" s="89">
        <v>0.23</v>
      </c>
      <c r="E572" s="46"/>
      <c r="F572" s="46"/>
      <c r="G572" s="46"/>
      <c r="H572" s="56">
        <f>INSUMOS!E33</f>
        <v>14.25</v>
      </c>
      <c r="I572" s="90">
        <f>H572*D572</f>
        <v>3.28</v>
      </c>
    </row>
    <row r="573" spans="1:9" ht="15.95" customHeight="1" x14ac:dyDescent="0.2">
      <c r="B573" s="598" t="s">
        <v>69</v>
      </c>
      <c r="C573" s="598"/>
      <c r="D573" s="598"/>
      <c r="E573" s="598"/>
      <c r="F573" s="598"/>
      <c r="G573" s="598"/>
      <c r="H573" s="598"/>
      <c r="I573" s="90">
        <f>SUM(I571:I572)</f>
        <v>24.7</v>
      </c>
    </row>
    <row r="574" spans="1:9" s="128" customFormat="1" ht="30" customHeight="1" x14ac:dyDescent="0.2">
      <c r="B574" s="597" t="s">
        <v>72</v>
      </c>
      <c r="C574" s="597"/>
      <c r="D574" s="597"/>
      <c r="E574" s="597"/>
      <c r="F574" s="597"/>
      <c r="G574" s="597"/>
      <c r="H574" s="597"/>
      <c r="I574" s="597"/>
    </row>
    <row r="575" spans="1:9" ht="15.95" customHeight="1" x14ac:dyDescent="0.2">
      <c r="B575" s="45" t="s">
        <v>59</v>
      </c>
      <c r="C575" s="57" t="s">
        <v>5</v>
      </c>
      <c r="D575" s="47" t="s">
        <v>6</v>
      </c>
      <c r="E575" s="46"/>
      <c r="F575" s="46"/>
      <c r="G575" s="46"/>
      <c r="H575" s="47" t="s">
        <v>71</v>
      </c>
      <c r="I575" s="43" t="s">
        <v>65</v>
      </c>
    </row>
    <row r="576" spans="1:9" ht="15.95" customHeight="1" x14ac:dyDescent="0.2">
      <c r="B576" s="48"/>
      <c r="C576" s="47"/>
      <c r="D576" s="47"/>
      <c r="E576" s="46"/>
      <c r="F576" s="46"/>
      <c r="G576" s="46"/>
      <c r="H576" s="47"/>
      <c r="I576" s="90">
        <f>D576*H576</f>
        <v>0</v>
      </c>
    </row>
    <row r="577" spans="2:9" ht="15.95" customHeight="1" x14ac:dyDescent="0.2">
      <c r="B577" s="598" t="s">
        <v>69</v>
      </c>
      <c r="C577" s="598"/>
      <c r="D577" s="598"/>
      <c r="E577" s="598"/>
      <c r="F577" s="598"/>
      <c r="G577" s="598"/>
      <c r="H577" s="598"/>
      <c r="I577" s="90">
        <f>SUM(I576:I576)</f>
        <v>0</v>
      </c>
    </row>
    <row r="578" spans="2:9" s="128" customFormat="1" ht="30" customHeight="1" x14ac:dyDescent="0.2">
      <c r="B578" s="597" t="s">
        <v>74</v>
      </c>
      <c r="C578" s="597"/>
      <c r="D578" s="597"/>
      <c r="E578" s="597"/>
      <c r="F578" s="597"/>
      <c r="G578" s="597"/>
      <c r="H578" s="597"/>
      <c r="I578" s="597"/>
    </row>
    <row r="579" spans="2:9" ht="15.95" customHeight="1" x14ac:dyDescent="0.2">
      <c r="B579" s="96" t="s">
        <v>59</v>
      </c>
      <c r="C579" s="78" t="s">
        <v>5</v>
      </c>
      <c r="D579" s="110" t="s">
        <v>6</v>
      </c>
      <c r="E579" s="42"/>
      <c r="F579" s="42"/>
      <c r="G579" s="42"/>
      <c r="H579" s="40" t="s">
        <v>71</v>
      </c>
      <c r="I579" s="43" t="s">
        <v>65</v>
      </c>
    </row>
    <row r="580" spans="2:9" ht="15.95" customHeight="1" x14ac:dyDescent="0.2">
      <c r="B580" s="99" t="s">
        <v>111</v>
      </c>
      <c r="C580" s="83" t="s">
        <v>67</v>
      </c>
      <c r="D580" s="49">
        <v>1</v>
      </c>
      <c r="E580" s="50"/>
      <c r="F580" s="50"/>
      <c r="G580" s="50"/>
      <c r="H580" s="56">
        <f>INSUMOS!E23</f>
        <v>7.66</v>
      </c>
      <c r="I580" s="87">
        <f>H580*D580</f>
        <v>7.66</v>
      </c>
    </row>
    <row r="581" spans="2:9" ht="15.95" customHeight="1" x14ac:dyDescent="0.2">
      <c r="B581" s="91" t="s">
        <v>75</v>
      </c>
      <c r="C581" s="71" t="s">
        <v>67</v>
      </c>
      <c r="D581" s="47">
        <v>4</v>
      </c>
      <c r="E581" s="46"/>
      <c r="F581" s="46"/>
      <c r="G581" s="46"/>
      <c r="H581" s="56">
        <f>INSUMOS!E14</f>
        <v>3.42</v>
      </c>
      <c r="I581" s="90">
        <f>H581*D581</f>
        <v>13.68</v>
      </c>
    </row>
    <row r="582" spans="2:9" ht="15.95" customHeight="1" x14ac:dyDescent="0.2">
      <c r="B582" s="599" t="s">
        <v>641</v>
      </c>
      <c r="C582" s="599"/>
      <c r="D582" s="599"/>
      <c r="E582" s="599"/>
      <c r="F582" s="599"/>
      <c r="G582" s="599"/>
      <c r="H582" s="599"/>
      <c r="I582" s="90">
        <f>SUM(I580:I581)*0.9103</f>
        <v>19.43</v>
      </c>
    </row>
    <row r="583" spans="2:9" ht="15.95" customHeight="1" x14ac:dyDescent="0.2">
      <c r="B583" s="598" t="s">
        <v>69</v>
      </c>
      <c r="C583" s="598"/>
      <c r="D583" s="598"/>
      <c r="E583" s="598"/>
      <c r="F583" s="598"/>
      <c r="G583" s="598"/>
      <c r="H583" s="598"/>
      <c r="I583" s="95">
        <f>SUM(I580:I582)</f>
        <v>40.770000000000003</v>
      </c>
    </row>
    <row r="584" spans="2:9" ht="15.95" customHeight="1" x14ac:dyDescent="0.2">
      <c r="B584" s="148" t="s">
        <v>76</v>
      </c>
      <c r="C584" s="149">
        <v>1</v>
      </c>
      <c r="D584" s="671" t="s">
        <v>77</v>
      </c>
      <c r="E584" s="672"/>
      <c r="F584" s="672"/>
      <c r="G584" s="672"/>
      <c r="H584" s="673"/>
      <c r="I584" s="95">
        <f>I568+I573+I577+I583</f>
        <v>115.03</v>
      </c>
    </row>
    <row r="585" spans="2:9" ht="15.95" customHeight="1" x14ac:dyDescent="0.2">
      <c r="B585" s="593"/>
      <c r="C585" s="594"/>
      <c r="D585" s="594"/>
      <c r="E585" s="594"/>
      <c r="F585" s="594"/>
      <c r="G585" s="594"/>
      <c r="H585" s="595"/>
      <c r="I585" s="95">
        <f>I584/C584</f>
        <v>115.03</v>
      </c>
    </row>
    <row r="586" spans="2:9" ht="15.95" customHeight="1" x14ac:dyDescent="0.2">
      <c r="B586" s="140" t="s">
        <v>346</v>
      </c>
      <c r="C586" s="146">
        <v>25</v>
      </c>
      <c r="D586" s="147" t="s">
        <v>272</v>
      </c>
      <c r="E586" s="137"/>
      <c r="F586" s="137"/>
      <c r="G586" s="137"/>
      <c r="H586" s="138"/>
      <c r="I586" s="90">
        <f>C586/100*I585</f>
        <v>28.76</v>
      </c>
    </row>
    <row r="587" spans="2:9" s="128" customFormat="1" ht="30" customHeight="1" thickBot="1" x14ac:dyDescent="0.25">
      <c r="B587" s="596" t="s">
        <v>78</v>
      </c>
      <c r="C587" s="596"/>
      <c r="D587" s="596"/>
      <c r="E587" s="596"/>
      <c r="F587" s="596"/>
      <c r="G587" s="596"/>
      <c r="H587" s="596"/>
      <c r="I587" s="136">
        <f>SUM(I585:I586)</f>
        <v>143.79</v>
      </c>
    </row>
    <row r="593" spans="1:11" ht="13.5" thickBot="1" x14ac:dyDescent="0.25"/>
    <row r="594" spans="1:11" ht="30" customHeight="1" x14ac:dyDescent="0.2">
      <c r="B594" s="202" t="s">
        <v>55</v>
      </c>
      <c r="C594" s="488" t="str">
        <f>PERFURAÇÃO!B36</f>
        <v>2.14</v>
      </c>
      <c r="D594" s="665" t="s">
        <v>56</v>
      </c>
      <c r="E594" s="665"/>
      <c r="F594" s="665"/>
      <c r="G594" s="665"/>
      <c r="H594" s="665"/>
      <c r="I594" s="665"/>
    </row>
    <row r="595" spans="1:11" s="128" customFormat="1" ht="30" customHeight="1" x14ac:dyDescent="0.2">
      <c r="B595" s="666" t="s">
        <v>344</v>
      </c>
      <c r="C595" s="667"/>
      <c r="D595" s="667"/>
      <c r="E595" s="667"/>
      <c r="F595" s="667"/>
      <c r="G595" s="668"/>
      <c r="H595" s="669" t="s">
        <v>568</v>
      </c>
      <c r="I595" s="670"/>
    </row>
    <row r="596" spans="1:11" ht="30" customHeight="1" x14ac:dyDescent="0.2">
      <c r="B596" s="664" t="s">
        <v>178</v>
      </c>
      <c r="C596" s="664"/>
      <c r="D596" s="664"/>
      <c r="E596" s="664"/>
      <c r="F596" s="664"/>
      <c r="G596" s="664"/>
      <c r="H596" s="34" t="s">
        <v>57</v>
      </c>
      <c r="I596" s="127" t="s">
        <v>398</v>
      </c>
    </row>
    <row r="597" spans="1:11" s="128" customFormat="1" ht="30" customHeight="1" x14ac:dyDescent="0.2">
      <c r="B597" s="597" t="s">
        <v>58</v>
      </c>
      <c r="C597" s="597"/>
      <c r="D597" s="597"/>
      <c r="E597" s="597"/>
      <c r="F597" s="597"/>
      <c r="G597" s="597"/>
      <c r="H597" s="597"/>
      <c r="I597" s="597"/>
    </row>
    <row r="598" spans="1:11" ht="25.5" x14ac:dyDescent="0.2">
      <c r="A598" s="93"/>
      <c r="B598" s="35" t="s">
        <v>59</v>
      </c>
      <c r="C598" s="173" t="s">
        <v>5</v>
      </c>
      <c r="D598" s="36" t="s">
        <v>6</v>
      </c>
      <c r="E598" s="36" t="s">
        <v>61</v>
      </c>
      <c r="F598" s="36" t="s">
        <v>62</v>
      </c>
      <c r="G598" s="36" t="s">
        <v>63</v>
      </c>
      <c r="H598" s="36" t="s">
        <v>64</v>
      </c>
      <c r="I598" s="37" t="s">
        <v>65</v>
      </c>
    </row>
    <row r="599" spans="1:11" ht="15.95" customHeight="1" x14ac:dyDescent="0.2">
      <c r="B599" s="97"/>
      <c r="C599" s="39"/>
      <c r="D599" s="141"/>
      <c r="E599" s="40"/>
      <c r="F599" s="40"/>
      <c r="G599" s="40"/>
      <c r="H599" s="40"/>
      <c r="I599" s="43">
        <f>H599*D599</f>
        <v>0</v>
      </c>
    </row>
    <row r="600" spans="1:11" ht="15.95" customHeight="1" x14ac:dyDescent="0.2">
      <c r="B600" s="598" t="s">
        <v>69</v>
      </c>
      <c r="C600" s="598"/>
      <c r="D600" s="598"/>
      <c r="E600" s="598"/>
      <c r="F600" s="598"/>
      <c r="G600" s="598"/>
      <c r="H600" s="598"/>
      <c r="I600" s="95">
        <f>SUM(I599:I599)</f>
        <v>0</v>
      </c>
    </row>
    <row r="601" spans="1:11" s="128" customFormat="1" ht="30" customHeight="1" x14ac:dyDescent="0.2">
      <c r="B601" s="597" t="s">
        <v>70</v>
      </c>
      <c r="C601" s="597"/>
      <c r="D601" s="597"/>
      <c r="E601" s="597"/>
      <c r="F601" s="597"/>
      <c r="G601" s="597"/>
      <c r="H601" s="597"/>
      <c r="I601" s="597"/>
    </row>
    <row r="602" spans="1:11" x14ac:dyDescent="0.2">
      <c r="B602" s="96" t="s">
        <v>59</v>
      </c>
      <c r="C602" s="78" t="s">
        <v>5</v>
      </c>
      <c r="D602" s="40" t="s">
        <v>6</v>
      </c>
      <c r="E602" s="42"/>
      <c r="F602" s="42"/>
      <c r="G602" s="42"/>
      <c r="H602" s="40" t="s">
        <v>71</v>
      </c>
      <c r="I602" s="43" t="s">
        <v>65</v>
      </c>
    </row>
    <row r="603" spans="1:11" ht="15.95" customHeight="1" x14ac:dyDescent="0.2">
      <c r="B603" s="97"/>
      <c r="C603" s="88"/>
      <c r="D603" s="89"/>
      <c r="E603" s="46"/>
      <c r="F603" s="46"/>
      <c r="G603" s="46"/>
      <c r="H603" s="47"/>
      <c r="I603" s="90">
        <f>H603*D603</f>
        <v>0</v>
      </c>
    </row>
    <row r="604" spans="1:11" ht="15.95" customHeight="1" x14ac:dyDescent="0.2">
      <c r="B604" s="598" t="s">
        <v>69</v>
      </c>
      <c r="C604" s="598"/>
      <c r="D604" s="598"/>
      <c r="E604" s="598"/>
      <c r="F604" s="598"/>
      <c r="G604" s="598"/>
      <c r="H604" s="598"/>
      <c r="I604" s="90">
        <f>SUM(I603:I603)</f>
        <v>0</v>
      </c>
    </row>
    <row r="605" spans="1:11" s="128" customFormat="1" ht="30" customHeight="1" x14ac:dyDescent="0.2">
      <c r="B605" s="597" t="s">
        <v>72</v>
      </c>
      <c r="C605" s="597"/>
      <c r="D605" s="597"/>
      <c r="E605" s="597"/>
      <c r="F605" s="597"/>
      <c r="G605" s="597"/>
      <c r="H605" s="597"/>
      <c r="I605" s="597"/>
    </row>
    <row r="606" spans="1:11" ht="15.95" customHeight="1" x14ac:dyDescent="0.2">
      <c r="B606" s="45" t="s">
        <v>59</v>
      </c>
      <c r="C606" s="57" t="s">
        <v>5</v>
      </c>
      <c r="D606" s="47" t="s">
        <v>6</v>
      </c>
      <c r="E606" s="46"/>
      <c r="F606" s="46"/>
      <c r="G606" s="46"/>
      <c r="H606" s="47" t="s">
        <v>71</v>
      </c>
      <c r="I606" s="43" t="s">
        <v>65</v>
      </c>
    </row>
    <row r="607" spans="1:11" ht="15.95" customHeight="1" x14ac:dyDescent="0.2">
      <c r="B607" s="84" t="s">
        <v>505</v>
      </c>
      <c r="C607" s="146" t="s">
        <v>398</v>
      </c>
      <c r="D607" s="47">
        <v>1</v>
      </c>
      <c r="E607" s="46"/>
      <c r="F607" s="46"/>
      <c r="G607" s="46"/>
      <c r="H607" s="56">
        <f>INSUMOS!E125</f>
        <v>599.1</v>
      </c>
      <c r="I607" s="90">
        <f>D607*H607</f>
        <v>599.1</v>
      </c>
      <c r="K607" s="51"/>
    </row>
    <row r="608" spans="1:11" ht="15.95" customHeight="1" x14ac:dyDescent="0.2">
      <c r="B608" s="598" t="s">
        <v>69</v>
      </c>
      <c r="C608" s="598"/>
      <c r="D608" s="598"/>
      <c r="E608" s="598"/>
      <c r="F608" s="598"/>
      <c r="G608" s="598"/>
      <c r="H608" s="598"/>
      <c r="I608" s="90">
        <f>SUM(I607:I607)</f>
        <v>599.1</v>
      </c>
    </row>
    <row r="609" spans="2:9" s="128" customFormat="1" ht="30" customHeight="1" x14ac:dyDescent="0.2">
      <c r="B609" s="597" t="s">
        <v>74</v>
      </c>
      <c r="C609" s="597"/>
      <c r="D609" s="597"/>
      <c r="E609" s="597"/>
      <c r="F609" s="597"/>
      <c r="G609" s="597"/>
      <c r="H609" s="597"/>
      <c r="I609" s="597"/>
    </row>
    <row r="610" spans="2:9" ht="15.95" customHeight="1" x14ac:dyDescent="0.2">
      <c r="B610" s="96" t="s">
        <v>59</v>
      </c>
      <c r="C610" s="78" t="s">
        <v>5</v>
      </c>
      <c r="D610" s="110" t="s">
        <v>6</v>
      </c>
      <c r="E610" s="42"/>
      <c r="F610" s="42"/>
      <c r="G610" s="42"/>
      <c r="H610" s="40" t="s">
        <v>71</v>
      </c>
      <c r="I610" s="43" t="s">
        <v>65</v>
      </c>
    </row>
    <row r="611" spans="2:9" ht="15.95" customHeight="1" x14ac:dyDescent="0.2">
      <c r="B611" s="91"/>
      <c r="C611" s="57"/>
      <c r="D611" s="40"/>
      <c r="E611" s="42"/>
      <c r="F611" s="42"/>
      <c r="G611" s="42"/>
      <c r="H611" s="40"/>
      <c r="I611" s="43">
        <f>H611*D611</f>
        <v>0</v>
      </c>
    </row>
    <row r="612" spans="2:9" ht="15.95" customHeight="1" x14ac:dyDescent="0.2">
      <c r="B612" s="599" t="s">
        <v>641</v>
      </c>
      <c r="C612" s="599"/>
      <c r="D612" s="599"/>
      <c r="E612" s="599"/>
      <c r="F612" s="599"/>
      <c r="G612" s="599"/>
      <c r="H612" s="599"/>
      <c r="I612" s="90">
        <f>SUM(I611:I611)*0.9103</f>
        <v>0</v>
      </c>
    </row>
    <row r="613" spans="2:9" ht="15.95" customHeight="1" x14ac:dyDescent="0.2">
      <c r="B613" s="598" t="s">
        <v>69</v>
      </c>
      <c r="C613" s="598"/>
      <c r="D613" s="598"/>
      <c r="E613" s="598"/>
      <c r="F613" s="598"/>
      <c r="G613" s="598"/>
      <c r="H613" s="598"/>
      <c r="I613" s="92">
        <f>SUM(I611:I612)</f>
        <v>0</v>
      </c>
    </row>
    <row r="614" spans="2:9" ht="15.95" customHeight="1" x14ac:dyDescent="0.2">
      <c r="B614" s="54" t="s">
        <v>76</v>
      </c>
      <c r="C614" s="47">
        <v>1</v>
      </c>
      <c r="D614" s="647" t="s">
        <v>77</v>
      </c>
      <c r="E614" s="647"/>
      <c r="F614" s="647"/>
      <c r="G614" s="647"/>
      <c r="H614" s="647"/>
      <c r="I614" s="95">
        <f>I613+I608+I604+I600</f>
        <v>599.1</v>
      </c>
    </row>
    <row r="615" spans="2:9" ht="15.95" customHeight="1" x14ac:dyDescent="0.2">
      <c r="B615" s="593"/>
      <c r="C615" s="594"/>
      <c r="D615" s="594"/>
      <c r="E615" s="594"/>
      <c r="F615" s="594"/>
      <c r="G615" s="594"/>
      <c r="H615" s="595"/>
      <c r="I615" s="95">
        <f>I614/C614</f>
        <v>599.1</v>
      </c>
    </row>
    <row r="616" spans="2:9" ht="15.95" customHeight="1" x14ac:dyDescent="0.2">
      <c r="B616" s="140" t="s">
        <v>346</v>
      </c>
      <c r="C616" s="146">
        <v>25</v>
      </c>
      <c r="D616" s="147" t="s">
        <v>272</v>
      </c>
      <c r="E616" s="137"/>
      <c r="F616" s="137"/>
      <c r="G616" s="137"/>
      <c r="H616" s="138"/>
      <c r="I616" s="90">
        <f>C616/100*I615</f>
        <v>149.78</v>
      </c>
    </row>
    <row r="617" spans="2:9" s="128" customFormat="1" ht="30" customHeight="1" thickBot="1" x14ac:dyDescent="0.25">
      <c r="B617" s="596" t="s">
        <v>78</v>
      </c>
      <c r="C617" s="596"/>
      <c r="D617" s="596"/>
      <c r="E617" s="596"/>
      <c r="F617" s="596"/>
      <c r="G617" s="596"/>
      <c r="H617" s="596"/>
      <c r="I617" s="136">
        <f>SUM(I615:I616)</f>
        <v>748.88</v>
      </c>
    </row>
    <row r="623" spans="2:9" ht="13.5" thickBot="1" x14ac:dyDescent="0.25"/>
    <row r="624" spans="2:9" ht="30" customHeight="1" x14ac:dyDescent="0.2">
      <c r="B624" s="202" t="s">
        <v>55</v>
      </c>
      <c r="C624" s="488" t="str">
        <f>PERFURAÇÃO!B37</f>
        <v>2.15</v>
      </c>
      <c r="D624" s="665" t="s">
        <v>56</v>
      </c>
      <c r="E624" s="665"/>
      <c r="F624" s="665"/>
      <c r="G624" s="665"/>
      <c r="H624" s="665"/>
      <c r="I624" s="665"/>
    </row>
    <row r="625" spans="2:11" s="128" customFormat="1" ht="30" customHeight="1" x14ac:dyDescent="0.2">
      <c r="B625" s="666" t="s">
        <v>344</v>
      </c>
      <c r="C625" s="667"/>
      <c r="D625" s="667"/>
      <c r="E625" s="667"/>
      <c r="F625" s="667"/>
      <c r="G625" s="668"/>
      <c r="H625" s="669" t="s">
        <v>568</v>
      </c>
      <c r="I625" s="670"/>
    </row>
    <row r="626" spans="2:11" ht="28.5" customHeight="1" x14ac:dyDescent="0.2">
      <c r="B626" s="706" t="s">
        <v>541</v>
      </c>
      <c r="C626" s="707"/>
      <c r="D626" s="707"/>
      <c r="E626" s="707"/>
      <c r="F626" s="707"/>
      <c r="G626" s="708"/>
      <c r="H626" s="34" t="s">
        <v>57</v>
      </c>
      <c r="I626" s="127" t="s">
        <v>32</v>
      </c>
      <c r="K626" s="101"/>
    </row>
    <row r="627" spans="2:11" s="128" customFormat="1" ht="30" customHeight="1" x14ac:dyDescent="0.2">
      <c r="B627" s="674" t="s">
        <v>58</v>
      </c>
      <c r="C627" s="674"/>
      <c r="D627" s="674"/>
      <c r="E627" s="674"/>
      <c r="F627" s="674"/>
      <c r="G627" s="674"/>
      <c r="H627" s="674"/>
      <c r="I627" s="674"/>
    </row>
    <row r="628" spans="2:11" ht="25.5" x14ac:dyDescent="0.2">
      <c r="B628" s="35" t="s">
        <v>59</v>
      </c>
      <c r="C628" s="36" t="s">
        <v>60</v>
      </c>
      <c r="D628" s="36" t="s">
        <v>6</v>
      </c>
      <c r="E628" s="36" t="s">
        <v>61</v>
      </c>
      <c r="F628" s="36" t="s">
        <v>62</v>
      </c>
      <c r="G628" s="36" t="s">
        <v>63</v>
      </c>
      <c r="H628" s="36" t="s">
        <v>64</v>
      </c>
      <c r="I628" s="37" t="s">
        <v>65</v>
      </c>
    </row>
    <row r="629" spans="2:11" ht="15.95" customHeight="1" x14ac:dyDescent="0.2">
      <c r="B629" s="97" t="s">
        <v>128</v>
      </c>
      <c r="C629" s="88" t="s">
        <v>67</v>
      </c>
      <c r="D629" s="89">
        <v>0.6</v>
      </c>
      <c r="E629" s="47"/>
      <c r="F629" s="47"/>
      <c r="G629" s="56">
        <f>INSUMOS!E59</f>
        <v>4.05</v>
      </c>
      <c r="I629" s="90">
        <f>G629*D629</f>
        <v>2.4300000000000002</v>
      </c>
    </row>
    <row r="630" spans="2:11" ht="15.95" customHeight="1" x14ac:dyDescent="0.2">
      <c r="B630" s="598" t="s">
        <v>69</v>
      </c>
      <c r="C630" s="598"/>
      <c r="D630" s="598"/>
      <c r="E630" s="598"/>
      <c r="F630" s="598"/>
      <c r="G630" s="598"/>
      <c r="H630" s="598"/>
      <c r="I630" s="92">
        <f>SUM(I629:I629)</f>
        <v>2.4300000000000002</v>
      </c>
    </row>
    <row r="631" spans="2:11" s="128" customFormat="1" ht="30" customHeight="1" x14ac:dyDescent="0.2">
      <c r="B631" s="674" t="s">
        <v>70</v>
      </c>
      <c r="C631" s="674"/>
      <c r="D631" s="674"/>
      <c r="E631" s="674"/>
      <c r="F631" s="674"/>
      <c r="G631" s="674"/>
      <c r="H631" s="674"/>
      <c r="I631" s="674"/>
    </row>
    <row r="632" spans="2:11" ht="15.95" customHeight="1" x14ac:dyDescent="0.2">
      <c r="B632" s="41" t="s">
        <v>59</v>
      </c>
      <c r="C632" s="40" t="s">
        <v>60</v>
      </c>
      <c r="D632" s="40" t="s">
        <v>6</v>
      </c>
      <c r="E632" s="36"/>
      <c r="F632" s="36"/>
      <c r="G632" s="36"/>
      <c r="H632" s="40" t="s">
        <v>71</v>
      </c>
      <c r="I632" s="43" t="s">
        <v>65</v>
      </c>
    </row>
    <row r="633" spans="2:11" ht="15.95" customHeight="1" x14ac:dyDescent="0.2">
      <c r="B633" s="91" t="s">
        <v>171</v>
      </c>
      <c r="C633" s="40" t="s">
        <v>88</v>
      </c>
      <c r="D633" s="40">
        <v>340</v>
      </c>
      <c r="E633" s="42"/>
      <c r="F633" s="42"/>
      <c r="G633" s="36"/>
      <c r="H633" s="52">
        <f>INSUMOS!E41</f>
        <v>0.48</v>
      </c>
      <c r="I633" s="43">
        <f>D633*H633</f>
        <v>163.19999999999999</v>
      </c>
    </row>
    <row r="634" spans="2:11" ht="15.95" customHeight="1" x14ac:dyDescent="0.2">
      <c r="B634" s="91" t="s">
        <v>173</v>
      </c>
      <c r="C634" s="40" t="s">
        <v>32</v>
      </c>
      <c r="D634" s="107">
        <v>0.63200000000000001</v>
      </c>
      <c r="E634" s="42"/>
      <c r="F634" s="42"/>
      <c r="G634" s="36"/>
      <c r="H634" s="52">
        <f>INSUMOS!E47</f>
        <v>70</v>
      </c>
      <c r="I634" s="43">
        <f>D634*H634</f>
        <v>44.24</v>
      </c>
    </row>
    <row r="635" spans="2:11" ht="15.95" customHeight="1" x14ac:dyDescent="0.2">
      <c r="B635" s="91" t="s">
        <v>174</v>
      </c>
      <c r="C635" s="40" t="s">
        <v>32</v>
      </c>
      <c r="D635" s="47">
        <v>0.37</v>
      </c>
      <c r="E635" s="42"/>
      <c r="F635" s="42"/>
      <c r="G635" s="42"/>
      <c r="H635" s="52">
        <f>INSUMOS!E42</f>
        <v>68.13</v>
      </c>
      <c r="I635" s="43">
        <f>H635*D635</f>
        <v>25.21</v>
      </c>
    </row>
    <row r="636" spans="2:11" ht="15.95" customHeight="1" x14ac:dyDescent="0.2">
      <c r="B636" s="91" t="s">
        <v>175</v>
      </c>
      <c r="C636" s="40" t="s">
        <v>32</v>
      </c>
      <c r="D636" s="47">
        <v>0.37</v>
      </c>
      <c r="E636" s="42"/>
      <c r="F636" s="42"/>
      <c r="G636" s="42"/>
      <c r="H636" s="52">
        <f>INSUMOS!E43</f>
        <v>65.8</v>
      </c>
      <c r="I636" s="43">
        <f>H636*D636</f>
        <v>24.35</v>
      </c>
    </row>
    <row r="637" spans="2:11" ht="15.95" customHeight="1" x14ac:dyDescent="0.2">
      <c r="B637" s="108" t="s">
        <v>176</v>
      </c>
      <c r="C637" s="47" t="s">
        <v>88</v>
      </c>
      <c r="D637" s="47">
        <v>20</v>
      </c>
      <c r="E637" s="46"/>
      <c r="F637" s="46"/>
      <c r="G637" s="46"/>
      <c r="H637" s="56">
        <f>INSUMOS!E69</f>
        <v>3.39</v>
      </c>
      <c r="I637" s="90">
        <f>D637*H637</f>
        <v>67.8</v>
      </c>
      <c r="J637" s="51"/>
    </row>
    <row r="638" spans="2:11" ht="15.95" customHeight="1" x14ac:dyDescent="0.2">
      <c r="B638" s="124" t="s">
        <v>177</v>
      </c>
      <c r="C638" s="110" t="s">
        <v>85</v>
      </c>
      <c r="D638" s="40">
        <v>0.64</v>
      </c>
      <c r="E638" s="42"/>
      <c r="F638" s="42"/>
      <c r="G638" s="42"/>
      <c r="H638" s="52">
        <f>INSUMOS!E90</f>
        <v>15.24</v>
      </c>
      <c r="I638" s="43">
        <f>D638*H638</f>
        <v>9.75</v>
      </c>
      <c r="K638" s="33">
        <f>70/20</f>
        <v>3.5</v>
      </c>
    </row>
    <row r="639" spans="2:11" ht="15.95" customHeight="1" x14ac:dyDescent="0.2">
      <c r="B639" s="124" t="s">
        <v>359</v>
      </c>
      <c r="C639" s="209" t="s">
        <v>88</v>
      </c>
      <c r="D639" s="210">
        <v>0.7</v>
      </c>
      <c r="E639" s="211"/>
      <c r="F639" s="204"/>
      <c r="G639" s="204"/>
      <c r="H639" s="205">
        <f>INSUMOS!E34</f>
        <v>6.51</v>
      </c>
      <c r="I639" s="43">
        <f>D639*H639</f>
        <v>4.5599999999999996</v>
      </c>
      <c r="K639" s="33">
        <f>2.5/3.5</f>
        <v>0.71</v>
      </c>
    </row>
    <row r="640" spans="2:11" ht="15.95" customHeight="1" x14ac:dyDescent="0.2">
      <c r="B640" s="206" t="s">
        <v>360</v>
      </c>
      <c r="C640" s="163" t="s">
        <v>95</v>
      </c>
      <c r="D640" s="163">
        <v>0.34</v>
      </c>
      <c r="E640" s="165"/>
      <c r="F640" s="207"/>
      <c r="G640" s="207"/>
      <c r="H640" s="208">
        <f>INSUMOS!E76</f>
        <v>8.9499999999999993</v>
      </c>
      <c r="I640" s="43">
        <f>D640*H640</f>
        <v>3.04</v>
      </c>
      <c r="K640" s="33">
        <f>1.2/3.5</f>
        <v>0.34</v>
      </c>
    </row>
    <row r="641" spans="2:9" ht="15.95" customHeight="1" x14ac:dyDescent="0.2">
      <c r="B641" s="646" t="s">
        <v>69</v>
      </c>
      <c r="C641" s="646"/>
      <c r="D641" s="646"/>
      <c r="E641" s="646"/>
      <c r="F641" s="646"/>
      <c r="G641" s="646"/>
      <c r="H641" s="646"/>
      <c r="I641" s="92">
        <f>SUM(I633:I640)</f>
        <v>342.15</v>
      </c>
    </row>
    <row r="642" spans="2:9" s="128" customFormat="1" ht="30" customHeight="1" x14ac:dyDescent="0.2">
      <c r="B642" s="674" t="s">
        <v>72</v>
      </c>
      <c r="C642" s="674"/>
      <c r="D642" s="674"/>
      <c r="E642" s="674"/>
      <c r="F642" s="674"/>
      <c r="G642" s="674"/>
      <c r="H642" s="674"/>
      <c r="I642" s="674"/>
    </row>
    <row r="643" spans="2:9" x14ac:dyDescent="0.2">
      <c r="B643" s="45" t="s">
        <v>59</v>
      </c>
      <c r="C643" s="47" t="s">
        <v>60</v>
      </c>
      <c r="D643" s="47" t="s">
        <v>6</v>
      </c>
      <c r="E643" s="46"/>
      <c r="F643" s="46"/>
      <c r="G643" s="46"/>
      <c r="H643" s="47" t="s">
        <v>71</v>
      </c>
      <c r="I643" s="43" t="s">
        <v>65</v>
      </c>
    </row>
    <row r="644" spans="2:9" x14ac:dyDescent="0.2">
      <c r="B644" s="48"/>
      <c r="C644" s="47"/>
      <c r="D644" s="47"/>
      <c r="E644" s="46"/>
      <c r="F644" s="46"/>
      <c r="G644" s="46"/>
      <c r="H644" s="47"/>
      <c r="I644" s="43">
        <v>0</v>
      </c>
    </row>
    <row r="645" spans="2:9" x14ac:dyDescent="0.2">
      <c r="B645" s="598" t="s">
        <v>69</v>
      </c>
      <c r="C645" s="598"/>
      <c r="D645" s="598"/>
      <c r="E645" s="598"/>
      <c r="F645" s="598"/>
      <c r="G645" s="598"/>
      <c r="H645" s="598"/>
      <c r="I645" s="43">
        <v>0</v>
      </c>
    </row>
    <row r="646" spans="2:9" s="128" customFormat="1" ht="30" customHeight="1" x14ac:dyDescent="0.2">
      <c r="B646" s="674" t="s">
        <v>74</v>
      </c>
      <c r="C646" s="674"/>
      <c r="D646" s="674"/>
      <c r="E646" s="674"/>
      <c r="F646" s="674"/>
      <c r="G646" s="674"/>
      <c r="H646" s="674"/>
      <c r="I646" s="674"/>
    </row>
    <row r="647" spans="2:9" s="128" customFormat="1" ht="15.95" customHeight="1" x14ac:dyDescent="0.2">
      <c r="B647" s="150" t="s">
        <v>59</v>
      </c>
      <c r="C647" s="47" t="s">
        <v>60</v>
      </c>
      <c r="D647" s="47" t="s">
        <v>6</v>
      </c>
      <c r="E647" s="46"/>
      <c r="F647" s="46"/>
      <c r="G647" s="46"/>
      <c r="H647" s="47" t="s">
        <v>71</v>
      </c>
      <c r="I647" s="90" t="s">
        <v>65</v>
      </c>
    </row>
    <row r="648" spans="2:9" ht="15.95" customHeight="1" x14ac:dyDescent="0.2">
      <c r="B648" s="91" t="s">
        <v>152</v>
      </c>
      <c r="C648" s="40" t="s">
        <v>67</v>
      </c>
      <c r="D648" s="47">
        <v>3</v>
      </c>
      <c r="E648" s="46"/>
      <c r="F648" s="46"/>
      <c r="G648" s="46"/>
      <c r="H648" s="56">
        <f>INSUMOS!E19</f>
        <v>4.55</v>
      </c>
      <c r="I648" s="87">
        <f>D648*H648</f>
        <v>13.65</v>
      </c>
    </row>
    <row r="649" spans="2:9" ht="15.95" customHeight="1" x14ac:dyDescent="0.2">
      <c r="B649" s="91" t="s">
        <v>75</v>
      </c>
      <c r="C649" s="47" t="s">
        <v>67</v>
      </c>
      <c r="D649" s="47">
        <v>13</v>
      </c>
      <c r="E649" s="46"/>
      <c r="F649" s="46"/>
      <c r="G649" s="46"/>
      <c r="H649" s="56">
        <f>INSUMOS!E14</f>
        <v>3.42</v>
      </c>
      <c r="I649" s="87">
        <f>D649*H649</f>
        <v>44.46</v>
      </c>
    </row>
    <row r="650" spans="2:9" ht="15.95" customHeight="1" x14ac:dyDescent="0.2">
      <c r="B650" s="599" t="s">
        <v>641</v>
      </c>
      <c r="C650" s="599"/>
      <c r="D650" s="599"/>
      <c r="E650" s="599"/>
      <c r="F650" s="599"/>
      <c r="G650" s="599"/>
      <c r="H650" s="599"/>
      <c r="I650" s="100">
        <f>SUM(I648:I649)*0.9103</f>
        <v>52.9</v>
      </c>
    </row>
    <row r="651" spans="2:9" ht="15.95" customHeight="1" x14ac:dyDescent="0.2">
      <c r="B651" s="598" t="s">
        <v>69</v>
      </c>
      <c r="C651" s="598"/>
      <c r="D651" s="598"/>
      <c r="E651" s="598"/>
      <c r="F651" s="598"/>
      <c r="G651" s="598"/>
      <c r="H651" s="598"/>
      <c r="I651" s="92">
        <f>SUM(I648:I650)</f>
        <v>111.01</v>
      </c>
    </row>
    <row r="652" spans="2:9" ht="15.95" customHeight="1" x14ac:dyDescent="0.2">
      <c r="B652" s="54" t="s">
        <v>76</v>
      </c>
      <c r="C652" s="47">
        <v>1</v>
      </c>
      <c r="D652" s="647" t="s">
        <v>77</v>
      </c>
      <c r="E652" s="647"/>
      <c r="F652" s="647"/>
      <c r="G652" s="647"/>
      <c r="H652" s="647"/>
      <c r="I652" s="92">
        <f>I630+I641+I645+I651</f>
        <v>455.59</v>
      </c>
    </row>
    <row r="653" spans="2:9" ht="15.95" customHeight="1" x14ac:dyDescent="0.2">
      <c r="B653" s="593"/>
      <c r="C653" s="594"/>
      <c r="D653" s="594"/>
      <c r="E653" s="594"/>
      <c r="F653" s="594"/>
      <c r="G653" s="594"/>
      <c r="H653" s="595"/>
      <c r="I653" s="92">
        <f>I652/C652</f>
        <v>455.59</v>
      </c>
    </row>
    <row r="654" spans="2:9" ht="15.95" customHeight="1" x14ac:dyDescent="0.2">
      <c r="B654" s="140" t="s">
        <v>346</v>
      </c>
      <c r="C654" s="146">
        <v>25</v>
      </c>
      <c r="D654" s="147" t="s">
        <v>272</v>
      </c>
      <c r="E654" s="137"/>
      <c r="F654" s="137"/>
      <c r="G654" s="137"/>
      <c r="H654" s="138"/>
      <c r="I654" s="90">
        <f>C654/100*I653</f>
        <v>113.9</v>
      </c>
    </row>
    <row r="655" spans="2:9" s="128" customFormat="1" ht="30" customHeight="1" thickBot="1" x14ac:dyDescent="0.25">
      <c r="B655" s="596" t="s">
        <v>78</v>
      </c>
      <c r="C655" s="596"/>
      <c r="D655" s="596"/>
      <c r="E655" s="596"/>
      <c r="F655" s="596"/>
      <c r="G655" s="596"/>
      <c r="H655" s="596"/>
      <c r="I655" s="136">
        <f>SUM(I653:I654)</f>
        <v>569.49</v>
      </c>
    </row>
    <row r="662" spans="2:10" ht="13.5" thickBot="1" x14ac:dyDescent="0.25"/>
    <row r="663" spans="2:10" s="128" customFormat="1" ht="30" customHeight="1" x14ac:dyDescent="0.2">
      <c r="B663" s="202" t="s">
        <v>55</v>
      </c>
      <c r="C663" s="488" t="str">
        <f>PERFURAÇÃO!B41</f>
        <v>3.3</v>
      </c>
      <c r="D663" s="665" t="s">
        <v>56</v>
      </c>
      <c r="E663" s="665"/>
      <c r="F663" s="665"/>
      <c r="G663" s="665"/>
      <c r="H663" s="665"/>
      <c r="I663" s="665"/>
    </row>
    <row r="664" spans="2:10" s="128" customFormat="1" ht="30" customHeight="1" x14ac:dyDescent="0.2">
      <c r="B664" s="666" t="s">
        <v>344</v>
      </c>
      <c r="C664" s="667"/>
      <c r="D664" s="667"/>
      <c r="E664" s="667"/>
      <c r="F664" s="667"/>
      <c r="G664" s="668"/>
      <c r="H664" s="669" t="s">
        <v>568</v>
      </c>
      <c r="I664" s="670"/>
    </row>
    <row r="665" spans="2:10" s="128" customFormat="1" ht="30" customHeight="1" x14ac:dyDescent="0.2">
      <c r="B665" s="685" t="s">
        <v>528</v>
      </c>
      <c r="C665" s="685"/>
      <c r="D665" s="685"/>
      <c r="E665" s="685"/>
      <c r="F665" s="685"/>
      <c r="G665" s="685"/>
      <c r="H665" s="34" t="s">
        <v>57</v>
      </c>
      <c r="I665" s="127" t="s">
        <v>398</v>
      </c>
    </row>
    <row r="666" spans="2:10" s="128" customFormat="1" ht="30" customHeight="1" x14ac:dyDescent="0.2">
      <c r="B666" s="597" t="s">
        <v>58</v>
      </c>
      <c r="C666" s="597"/>
      <c r="D666" s="597"/>
      <c r="E666" s="597"/>
      <c r="F666" s="597"/>
      <c r="G666" s="597"/>
      <c r="H666" s="597"/>
      <c r="I666" s="597"/>
    </row>
    <row r="667" spans="2:10" s="93" customFormat="1" ht="25.5" x14ac:dyDescent="0.2">
      <c r="B667" s="35" t="s">
        <v>59</v>
      </c>
      <c r="C667" s="173" t="s">
        <v>5</v>
      </c>
      <c r="D667" s="36" t="s">
        <v>6</v>
      </c>
      <c r="E667" s="36" t="s">
        <v>61</v>
      </c>
      <c r="F667" s="36" t="s">
        <v>62</v>
      </c>
      <c r="G667" s="36" t="s">
        <v>63</v>
      </c>
      <c r="H667" s="36" t="s">
        <v>64</v>
      </c>
      <c r="I667" s="37" t="s">
        <v>65</v>
      </c>
    </row>
    <row r="668" spans="2:10" ht="15.95" customHeight="1" x14ac:dyDescent="0.2">
      <c r="B668" s="84" t="s">
        <v>97</v>
      </c>
      <c r="C668" s="85" t="s">
        <v>67</v>
      </c>
      <c r="D668" s="86">
        <v>22.8</v>
      </c>
      <c r="E668" s="49">
        <v>1</v>
      </c>
      <c r="F668" s="49"/>
      <c r="G668" s="56">
        <f>INSUMOS!E100</f>
        <v>3.17</v>
      </c>
      <c r="H668" s="49"/>
      <c r="I668" s="87">
        <f>D668*E668*G668+D668*F668*H668</f>
        <v>72.28</v>
      </c>
      <c r="J668" s="51"/>
    </row>
    <row r="669" spans="2:10" ht="15.95" customHeight="1" x14ac:dyDescent="0.2">
      <c r="B669" s="598" t="s">
        <v>69</v>
      </c>
      <c r="C669" s="598"/>
      <c r="D669" s="598"/>
      <c r="E669" s="598"/>
      <c r="F669" s="598"/>
      <c r="G669" s="598"/>
      <c r="H669" s="598"/>
      <c r="I669" s="95">
        <f>SUM(I668:I668)</f>
        <v>72.28</v>
      </c>
    </row>
    <row r="670" spans="2:10" s="128" customFormat="1" ht="30" customHeight="1" x14ac:dyDescent="0.2">
      <c r="B670" s="597" t="s">
        <v>70</v>
      </c>
      <c r="C670" s="597"/>
      <c r="D670" s="597"/>
      <c r="E670" s="597"/>
      <c r="F670" s="597"/>
      <c r="G670" s="597"/>
      <c r="H670" s="597"/>
      <c r="I670" s="597"/>
    </row>
    <row r="671" spans="2:10" ht="15.95" customHeight="1" x14ac:dyDescent="0.2">
      <c r="B671" s="181" t="s">
        <v>59</v>
      </c>
      <c r="C671" s="182" t="s">
        <v>5</v>
      </c>
      <c r="D671" s="47" t="s">
        <v>6</v>
      </c>
      <c r="E671" s="46"/>
      <c r="F671" s="46"/>
      <c r="G671" s="46"/>
      <c r="H671" s="47" t="s">
        <v>71</v>
      </c>
      <c r="I671" s="90" t="s">
        <v>65</v>
      </c>
    </row>
    <row r="672" spans="2:10" ht="15.95" customHeight="1" x14ac:dyDescent="0.2">
      <c r="B672" s="97" t="s">
        <v>98</v>
      </c>
      <c r="C672" s="88" t="s">
        <v>95</v>
      </c>
      <c r="D672" s="89">
        <v>0.3</v>
      </c>
      <c r="E672" s="46"/>
      <c r="F672" s="46"/>
      <c r="G672" s="46"/>
      <c r="H672" s="56">
        <f>INSUMOS!E33</f>
        <v>14.25</v>
      </c>
      <c r="I672" s="90">
        <f>H672*D672</f>
        <v>4.28</v>
      </c>
    </row>
    <row r="673" spans="2:9" ht="15.95" customHeight="1" x14ac:dyDescent="0.2">
      <c r="B673" s="38" t="s">
        <v>99</v>
      </c>
      <c r="C673" s="88" t="s">
        <v>95</v>
      </c>
      <c r="D673" s="89">
        <v>123.32</v>
      </c>
      <c r="E673" s="46"/>
      <c r="F673" s="46"/>
      <c r="G673" s="46"/>
      <c r="H673" s="56">
        <f>INSUMOS!E32</f>
        <v>2.38</v>
      </c>
      <c r="I673" s="90">
        <f>H673*D673</f>
        <v>293.5</v>
      </c>
    </row>
    <row r="674" spans="2:9" ht="15.95" customHeight="1" x14ac:dyDescent="0.2">
      <c r="B674" s="598" t="s">
        <v>69</v>
      </c>
      <c r="C674" s="598"/>
      <c r="D674" s="598"/>
      <c r="E674" s="598"/>
      <c r="F674" s="598"/>
      <c r="G674" s="598"/>
      <c r="H674" s="598"/>
      <c r="I674" s="90">
        <f>SUM(I672:I673)</f>
        <v>297.77999999999997</v>
      </c>
    </row>
    <row r="675" spans="2:9" s="128" customFormat="1" ht="30" customHeight="1" x14ac:dyDescent="0.2">
      <c r="B675" s="597" t="s">
        <v>72</v>
      </c>
      <c r="C675" s="597"/>
      <c r="D675" s="597"/>
      <c r="E675" s="597"/>
      <c r="F675" s="597"/>
      <c r="G675" s="597"/>
      <c r="H675" s="597"/>
      <c r="I675" s="597"/>
    </row>
    <row r="676" spans="2:9" ht="15.95" customHeight="1" x14ac:dyDescent="0.2">
      <c r="B676" s="45" t="s">
        <v>59</v>
      </c>
      <c r="C676" s="71" t="s">
        <v>5</v>
      </c>
      <c r="D676" s="47" t="s">
        <v>6</v>
      </c>
      <c r="E676" s="46"/>
      <c r="F676" s="46"/>
      <c r="G676" s="46"/>
      <c r="H676" s="47" t="s">
        <v>71</v>
      </c>
      <c r="I676" s="90" t="s">
        <v>65</v>
      </c>
    </row>
    <row r="677" spans="2:9" ht="15.95" customHeight="1" x14ac:dyDescent="0.2">
      <c r="B677" s="266"/>
      <c r="C677" s="47"/>
      <c r="D677" s="47"/>
      <c r="E677" s="46"/>
      <c r="F677" s="46"/>
      <c r="G677" s="46"/>
      <c r="H677" s="47"/>
      <c r="I677" s="90">
        <f>D677*H677</f>
        <v>0</v>
      </c>
    </row>
    <row r="678" spans="2:9" ht="15.95" customHeight="1" x14ac:dyDescent="0.2">
      <c r="B678" s="598" t="s">
        <v>69</v>
      </c>
      <c r="C678" s="598"/>
      <c r="D678" s="598"/>
      <c r="E678" s="598"/>
      <c r="F678" s="598"/>
      <c r="G678" s="598"/>
      <c r="H678" s="598"/>
      <c r="I678" s="90">
        <f>SUM(I677:I677)</f>
        <v>0</v>
      </c>
    </row>
    <row r="679" spans="2:9" s="128" customFormat="1" ht="30" customHeight="1" x14ac:dyDescent="0.2">
      <c r="B679" s="597" t="s">
        <v>74</v>
      </c>
      <c r="C679" s="597"/>
      <c r="D679" s="597"/>
      <c r="E679" s="597"/>
      <c r="F679" s="597"/>
      <c r="G679" s="597"/>
      <c r="H679" s="597"/>
      <c r="I679" s="597"/>
    </row>
    <row r="680" spans="2:9" ht="15.95" customHeight="1" x14ac:dyDescent="0.2">
      <c r="B680" s="181" t="s">
        <v>59</v>
      </c>
      <c r="C680" s="182" t="s">
        <v>5</v>
      </c>
      <c r="D680" s="145" t="s">
        <v>6</v>
      </c>
      <c r="E680" s="46"/>
      <c r="F680" s="46"/>
      <c r="G680" s="46"/>
      <c r="H680" s="47" t="s">
        <v>71</v>
      </c>
      <c r="I680" s="90" t="s">
        <v>65</v>
      </c>
    </row>
    <row r="681" spans="2:9" ht="15.95" customHeight="1" x14ac:dyDescent="0.2">
      <c r="B681" s="53" t="s">
        <v>100</v>
      </c>
      <c r="C681" s="71" t="s">
        <v>67</v>
      </c>
      <c r="D681" s="47">
        <v>5.5</v>
      </c>
      <c r="E681" s="46"/>
      <c r="F681" s="46"/>
      <c r="G681" s="46"/>
      <c r="H681" s="56">
        <f>INSUMOS!E17</f>
        <v>8.52</v>
      </c>
      <c r="I681" s="90">
        <f>H681*D681</f>
        <v>46.86</v>
      </c>
    </row>
    <row r="682" spans="2:9" ht="15.95" customHeight="1" x14ac:dyDescent="0.2">
      <c r="B682" s="91" t="s">
        <v>75</v>
      </c>
      <c r="C682" s="71" t="s">
        <v>67</v>
      </c>
      <c r="D682" s="47">
        <v>15</v>
      </c>
      <c r="E682" s="46"/>
      <c r="F682" s="46"/>
      <c r="G682" s="46"/>
      <c r="H682" s="56">
        <f>INSUMOS!E14</f>
        <v>3.42</v>
      </c>
      <c r="I682" s="90">
        <f>H682*D682</f>
        <v>51.3</v>
      </c>
    </row>
    <row r="683" spans="2:9" ht="15.95" customHeight="1" x14ac:dyDescent="0.2">
      <c r="B683" s="91" t="s">
        <v>101</v>
      </c>
      <c r="C683" s="71" t="s">
        <v>67</v>
      </c>
      <c r="D683" s="47">
        <v>5.5</v>
      </c>
      <c r="E683" s="46"/>
      <c r="F683" s="46"/>
      <c r="G683" s="46"/>
      <c r="H683" s="56">
        <f>INSUMOS!E13</f>
        <v>7.51</v>
      </c>
      <c r="I683" s="90">
        <f>H683*D683</f>
        <v>41.31</v>
      </c>
    </row>
    <row r="684" spans="2:9" ht="15.95" customHeight="1" x14ac:dyDescent="0.2">
      <c r="B684" s="599" t="s">
        <v>641</v>
      </c>
      <c r="C684" s="599"/>
      <c r="D684" s="599"/>
      <c r="E684" s="599"/>
      <c r="F684" s="599"/>
      <c r="G684" s="599"/>
      <c r="H684" s="599"/>
      <c r="I684" s="90">
        <f>SUM(I681:I683)*0.9103</f>
        <v>126.96</v>
      </c>
    </row>
    <row r="685" spans="2:9" ht="15.95" customHeight="1" x14ac:dyDescent="0.2">
      <c r="B685" s="598" t="s">
        <v>69</v>
      </c>
      <c r="C685" s="598"/>
      <c r="D685" s="598"/>
      <c r="E685" s="598"/>
      <c r="F685" s="598"/>
      <c r="G685" s="598"/>
      <c r="H685" s="598"/>
      <c r="I685" s="95">
        <f>SUM(I681:I684)</f>
        <v>266.43</v>
      </c>
    </row>
    <row r="686" spans="2:9" ht="15.95" customHeight="1" x14ac:dyDescent="0.2">
      <c r="B686" s="148" t="s">
        <v>76</v>
      </c>
      <c r="C686" s="149">
        <v>1</v>
      </c>
      <c r="D686" s="671" t="s">
        <v>77</v>
      </c>
      <c r="E686" s="672"/>
      <c r="F686" s="672"/>
      <c r="G686" s="672"/>
      <c r="H686" s="673"/>
      <c r="I686" s="95">
        <f>I685+I678+I674+I669</f>
        <v>636.49</v>
      </c>
    </row>
    <row r="687" spans="2:9" ht="15.95" customHeight="1" x14ac:dyDescent="0.2">
      <c r="B687" s="593"/>
      <c r="C687" s="594"/>
      <c r="D687" s="594"/>
      <c r="E687" s="594"/>
      <c r="F687" s="594"/>
      <c r="G687" s="594"/>
      <c r="H687" s="595"/>
      <c r="I687" s="95">
        <f>I686/C686</f>
        <v>636.49</v>
      </c>
    </row>
    <row r="688" spans="2:9" ht="15.95" customHeight="1" x14ac:dyDescent="0.2">
      <c r="B688" s="140" t="s">
        <v>346</v>
      </c>
      <c r="C688" s="146">
        <v>25</v>
      </c>
      <c r="D688" s="147" t="s">
        <v>272</v>
      </c>
      <c r="E688" s="137"/>
      <c r="F688" s="137"/>
      <c r="G688" s="137"/>
      <c r="H688" s="138"/>
      <c r="I688" s="90">
        <f>C688/100*I687</f>
        <v>159.12</v>
      </c>
    </row>
    <row r="689" spans="1:9" s="128" customFormat="1" ht="30" customHeight="1" thickBot="1" x14ac:dyDescent="0.25">
      <c r="B689" s="596" t="s">
        <v>78</v>
      </c>
      <c r="C689" s="596"/>
      <c r="D689" s="596"/>
      <c r="E689" s="596"/>
      <c r="F689" s="596"/>
      <c r="G689" s="596"/>
      <c r="H689" s="596"/>
      <c r="I689" s="136">
        <f>SUM(I687:I688)</f>
        <v>795.61</v>
      </c>
    </row>
    <row r="694" spans="1:9" ht="13.5" thickBot="1" x14ac:dyDescent="0.25"/>
    <row r="695" spans="1:9" s="128" customFormat="1" ht="30" customHeight="1" x14ac:dyDescent="0.2">
      <c r="B695" s="279" t="s">
        <v>55</v>
      </c>
      <c r="C695" s="488" t="str">
        <f>PERFURAÇÃO!B42</f>
        <v>3.4</v>
      </c>
      <c r="D695" s="709" t="s">
        <v>56</v>
      </c>
      <c r="E695" s="709"/>
      <c r="F695" s="709"/>
      <c r="G695" s="709"/>
      <c r="H695" s="709"/>
      <c r="I695" s="710"/>
    </row>
    <row r="696" spans="1:9" s="128" customFormat="1" ht="30" customHeight="1" x14ac:dyDescent="0.2">
      <c r="B696" s="713" t="s">
        <v>402</v>
      </c>
      <c r="C696" s="691"/>
      <c r="D696" s="691"/>
      <c r="E696" s="691"/>
      <c r="F696" s="691"/>
      <c r="G696" s="692"/>
      <c r="H696" s="669" t="s">
        <v>568</v>
      </c>
      <c r="I696" s="714"/>
    </row>
    <row r="697" spans="1:9" s="128" customFormat="1" ht="30" customHeight="1" x14ac:dyDescent="0.2">
      <c r="B697" s="712" t="s">
        <v>411</v>
      </c>
      <c r="C697" s="685"/>
      <c r="D697" s="685"/>
      <c r="E697" s="685"/>
      <c r="F697" s="685"/>
      <c r="G697" s="685"/>
      <c r="H697" s="34" t="s">
        <v>57</v>
      </c>
      <c r="I697" s="213" t="s">
        <v>27</v>
      </c>
    </row>
    <row r="698" spans="1:9" s="128" customFormat="1" ht="30" customHeight="1" x14ac:dyDescent="0.2">
      <c r="B698" s="634" t="s">
        <v>58</v>
      </c>
      <c r="C698" s="597"/>
      <c r="D698" s="597"/>
      <c r="E698" s="597"/>
      <c r="F698" s="597"/>
      <c r="G698" s="597"/>
      <c r="H698" s="597"/>
      <c r="I698" s="635"/>
    </row>
    <row r="699" spans="1:9" ht="25.5" x14ac:dyDescent="0.2">
      <c r="A699" s="93"/>
      <c r="B699" s="214" t="s">
        <v>59</v>
      </c>
      <c r="C699" s="173" t="s">
        <v>5</v>
      </c>
      <c r="D699" s="36" t="s">
        <v>6</v>
      </c>
      <c r="E699" s="36" t="s">
        <v>61</v>
      </c>
      <c r="F699" s="36" t="s">
        <v>62</v>
      </c>
      <c r="G699" s="36" t="s">
        <v>63</v>
      </c>
      <c r="H699" s="36" t="s">
        <v>64</v>
      </c>
      <c r="I699" s="215" t="s">
        <v>65</v>
      </c>
    </row>
    <row r="700" spans="1:9" ht="15" customHeight="1" x14ac:dyDescent="0.2">
      <c r="B700" s="84" t="s">
        <v>97</v>
      </c>
      <c r="C700" s="85" t="s">
        <v>67</v>
      </c>
      <c r="D700" s="86">
        <v>1.35</v>
      </c>
      <c r="E700" s="49">
        <v>1</v>
      </c>
      <c r="F700" s="49"/>
      <c r="G700" s="56">
        <f>INSUMOS!E100</f>
        <v>3.17</v>
      </c>
      <c r="H700" s="49"/>
      <c r="I700" s="280">
        <f>D700*G700</f>
        <v>4.28</v>
      </c>
    </row>
    <row r="701" spans="1:9" ht="15" customHeight="1" x14ac:dyDescent="0.2">
      <c r="B701" s="97" t="s">
        <v>103</v>
      </c>
      <c r="C701" s="88" t="s">
        <v>67</v>
      </c>
      <c r="D701" s="89">
        <v>0.78</v>
      </c>
      <c r="E701" s="47">
        <v>1</v>
      </c>
      <c r="F701" s="276"/>
      <c r="G701" s="239">
        <f>INSUMOS!E102</f>
        <v>12.39</v>
      </c>
      <c r="H701" s="276"/>
      <c r="I701" s="280">
        <f>D701*G701</f>
        <v>9.66</v>
      </c>
    </row>
    <row r="702" spans="1:9" ht="15.95" customHeight="1" x14ac:dyDescent="0.2">
      <c r="B702" s="636" t="s">
        <v>69</v>
      </c>
      <c r="C702" s="598"/>
      <c r="D702" s="598"/>
      <c r="E702" s="598"/>
      <c r="F702" s="598"/>
      <c r="G702" s="598"/>
      <c r="H702" s="598"/>
      <c r="I702" s="230">
        <f>SUM(I700:I701)</f>
        <v>13.94</v>
      </c>
    </row>
    <row r="703" spans="1:9" s="128" customFormat="1" ht="30" customHeight="1" x14ac:dyDescent="0.2">
      <c r="B703" s="634" t="s">
        <v>70</v>
      </c>
      <c r="C703" s="597"/>
      <c r="D703" s="597"/>
      <c r="E703" s="597"/>
      <c r="F703" s="597"/>
      <c r="G703" s="597"/>
      <c r="H703" s="597"/>
      <c r="I703" s="635"/>
    </row>
    <row r="704" spans="1:9" ht="15" customHeight="1" x14ac:dyDescent="0.2">
      <c r="B704" s="294" t="s">
        <v>59</v>
      </c>
      <c r="C704" s="182" t="s">
        <v>5</v>
      </c>
      <c r="D704" s="47" t="s">
        <v>6</v>
      </c>
      <c r="E704" s="46"/>
      <c r="F704" s="46"/>
      <c r="G704" s="46"/>
      <c r="H704" s="47" t="s">
        <v>71</v>
      </c>
      <c r="I704" s="234" t="s">
        <v>65</v>
      </c>
    </row>
    <row r="705" spans="2:9" ht="15" customHeight="1" x14ac:dyDescent="0.2">
      <c r="B705" s="281"/>
      <c r="C705" s="88"/>
      <c r="D705" s="89"/>
      <c r="E705" s="46"/>
      <c r="F705" s="46"/>
      <c r="G705" s="46"/>
      <c r="H705" s="47"/>
      <c r="I705" s="234">
        <f>H705*D705</f>
        <v>0</v>
      </c>
    </row>
    <row r="706" spans="2:9" ht="15" customHeight="1" x14ac:dyDescent="0.2">
      <c r="B706" s="636" t="s">
        <v>69</v>
      </c>
      <c r="C706" s="598"/>
      <c r="D706" s="598"/>
      <c r="E706" s="598"/>
      <c r="F706" s="598"/>
      <c r="G706" s="598"/>
      <c r="H706" s="598"/>
      <c r="I706" s="234">
        <f>SUM(I705:I705)</f>
        <v>0</v>
      </c>
    </row>
    <row r="707" spans="2:9" s="128" customFormat="1" ht="30" customHeight="1" x14ac:dyDescent="0.2">
      <c r="B707" s="634" t="s">
        <v>72</v>
      </c>
      <c r="C707" s="597"/>
      <c r="D707" s="597"/>
      <c r="E707" s="597"/>
      <c r="F707" s="597"/>
      <c r="G707" s="597"/>
      <c r="H707" s="597"/>
      <c r="I707" s="635"/>
    </row>
    <row r="708" spans="2:9" ht="15" customHeight="1" x14ac:dyDescent="0.2">
      <c r="B708" s="282" t="s">
        <v>59</v>
      </c>
      <c r="C708" s="71" t="s">
        <v>5</v>
      </c>
      <c r="D708" s="47" t="s">
        <v>6</v>
      </c>
      <c r="E708" s="46"/>
      <c r="F708" s="46"/>
      <c r="G708" s="46"/>
      <c r="H708" s="47" t="s">
        <v>71</v>
      </c>
      <c r="I708" s="234" t="s">
        <v>65</v>
      </c>
    </row>
    <row r="709" spans="2:9" ht="15" customHeight="1" x14ac:dyDescent="0.2">
      <c r="B709" s="283"/>
      <c r="C709" s="47"/>
      <c r="D709" s="47"/>
      <c r="E709" s="46"/>
      <c r="F709" s="46"/>
      <c r="G709" s="46"/>
      <c r="H709" s="47"/>
      <c r="I709" s="234">
        <f>D709*H709</f>
        <v>0</v>
      </c>
    </row>
    <row r="710" spans="2:9" ht="15" customHeight="1" x14ac:dyDescent="0.2">
      <c r="B710" s="636" t="s">
        <v>69</v>
      </c>
      <c r="C710" s="598"/>
      <c r="D710" s="598"/>
      <c r="E710" s="598"/>
      <c r="F710" s="598"/>
      <c r="G710" s="598"/>
      <c r="H710" s="598"/>
      <c r="I710" s="234">
        <f>SUM(I709:I709)</f>
        <v>0</v>
      </c>
    </row>
    <row r="711" spans="2:9" s="128" customFormat="1" ht="30" customHeight="1" x14ac:dyDescent="0.2">
      <c r="B711" s="634" t="s">
        <v>74</v>
      </c>
      <c r="C711" s="597"/>
      <c r="D711" s="597"/>
      <c r="E711" s="597"/>
      <c r="F711" s="597"/>
      <c r="G711" s="597"/>
      <c r="H711" s="597"/>
      <c r="I711" s="635"/>
    </row>
    <row r="712" spans="2:9" ht="15.95" customHeight="1" x14ac:dyDescent="0.2">
      <c r="B712" s="294" t="s">
        <v>59</v>
      </c>
      <c r="C712" s="182" t="s">
        <v>5</v>
      </c>
      <c r="D712" s="145" t="s">
        <v>6</v>
      </c>
      <c r="E712" s="46"/>
      <c r="F712" s="46"/>
      <c r="G712" s="46"/>
      <c r="H712" s="47" t="s">
        <v>71</v>
      </c>
      <c r="I712" s="234" t="s">
        <v>65</v>
      </c>
    </row>
    <row r="713" spans="2:9" ht="15.95" customHeight="1" x14ac:dyDescent="0.2">
      <c r="B713" s="53" t="s">
        <v>100</v>
      </c>
      <c r="C713" s="71" t="s">
        <v>67</v>
      </c>
      <c r="D713" s="47">
        <v>3</v>
      </c>
      <c r="E713" s="290"/>
      <c r="F713" s="42"/>
      <c r="G713" s="42"/>
      <c r="H713" s="56">
        <f>INSUMOS!E17</f>
        <v>8.52</v>
      </c>
      <c r="I713" s="234">
        <f>H713*D713</f>
        <v>25.56</v>
      </c>
    </row>
    <row r="714" spans="2:9" ht="15.95" customHeight="1" x14ac:dyDescent="0.2">
      <c r="B714" s="91" t="s">
        <v>75</v>
      </c>
      <c r="C714" s="71" t="s">
        <v>67</v>
      </c>
      <c r="D714" s="47">
        <v>0.73</v>
      </c>
      <c r="E714" s="291"/>
      <c r="F714" s="204"/>
      <c r="G714" s="42"/>
      <c r="H714" s="56">
        <f>INSUMOS!E14</f>
        <v>3.42</v>
      </c>
      <c r="I714" s="234">
        <f>H714*D714</f>
        <v>2.5</v>
      </c>
    </row>
    <row r="715" spans="2:9" ht="15.95" customHeight="1" x14ac:dyDescent="0.2">
      <c r="B715" s="91" t="s">
        <v>106</v>
      </c>
      <c r="C715" s="71" t="s">
        <v>67</v>
      </c>
      <c r="D715" s="47">
        <v>4</v>
      </c>
      <c r="E715" s="292"/>
      <c r="F715" s="204"/>
      <c r="G715" s="42"/>
      <c r="H715" s="56">
        <f>INSUMOS!E22</f>
        <v>8.76</v>
      </c>
      <c r="I715" s="234">
        <f>H715*D715</f>
        <v>35.04</v>
      </c>
    </row>
    <row r="716" spans="2:9" ht="15.95" customHeight="1" x14ac:dyDescent="0.2">
      <c r="B716" s="599" t="s">
        <v>641</v>
      </c>
      <c r="C716" s="599"/>
      <c r="D716" s="599"/>
      <c r="E716" s="599"/>
      <c r="F716" s="599"/>
      <c r="G716" s="599"/>
      <c r="H716" s="599"/>
      <c r="I716" s="234">
        <f>SUM(I713:I715)*0.9103</f>
        <v>57.44</v>
      </c>
    </row>
    <row r="717" spans="2:9" ht="15.95" customHeight="1" x14ac:dyDescent="0.2">
      <c r="B717" s="636" t="s">
        <v>69</v>
      </c>
      <c r="C717" s="598"/>
      <c r="D717" s="598"/>
      <c r="E717" s="598"/>
      <c r="F717" s="598"/>
      <c r="G717" s="598"/>
      <c r="H717" s="598"/>
      <c r="I717" s="230">
        <f>SUM(I713:I716)</f>
        <v>120.54</v>
      </c>
    </row>
    <row r="718" spans="2:9" ht="15.95" customHeight="1" x14ac:dyDescent="0.2">
      <c r="B718" s="236" t="s">
        <v>76</v>
      </c>
      <c r="C718" s="149">
        <v>1</v>
      </c>
      <c r="D718" s="671" t="s">
        <v>77</v>
      </c>
      <c r="E718" s="672"/>
      <c r="F718" s="672"/>
      <c r="G718" s="672"/>
      <c r="H718" s="673"/>
      <c r="I718" s="230">
        <f>I702+I706+I710+I717</f>
        <v>134.47999999999999</v>
      </c>
    </row>
    <row r="719" spans="2:9" ht="15.95" customHeight="1" x14ac:dyDescent="0.2">
      <c r="B719" s="705"/>
      <c r="C719" s="594"/>
      <c r="D719" s="594"/>
      <c r="E719" s="594"/>
      <c r="F719" s="594"/>
      <c r="G719" s="594"/>
      <c r="H719" s="595"/>
      <c r="I719" s="230">
        <f>I718/C718</f>
        <v>134.47999999999999</v>
      </c>
    </row>
    <row r="720" spans="2:9" ht="15.95" customHeight="1" x14ac:dyDescent="0.2">
      <c r="B720" s="237" t="s">
        <v>346</v>
      </c>
      <c r="C720" s="146">
        <v>25</v>
      </c>
      <c r="D720" s="147" t="s">
        <v>272</v>
      </c>
      <c r="E720" s="137"/>
      <c r="F720" s="137"/>
      <c r="G720" s="137"/>
      <c r="H720" s="138"/>
      <c r="I720" s="234">
        <f>C720/100*I719</f>
        <v>33.619999999999997</v>
      </c>
    </row>
    <row r="721" spans="1:9" s="128" customFormat="1" ht="30" customHeight="1" thickBot="1" x14ac:dyDescent="0.25">
      <c r="B721" s="629" t="s">
        <v>78</v>
      </c>
      <c r="C721" s="630"/>
      <c r="D721" s="630"/>
      <c r="E721" s="630"/>
      <c r="F721" s="630"/>
      <c r="G721" s="630"/>
      <c r="H721" s="630"/>
      <c r="I721" s="136">
        <f>SUM(I719:I720)</f>
        <v>168.1</v>
      </c>
    </row>
    <row r="726" spans="1:9" ht="13.5" thickBot="1" x14ac:dyDescent="0.25"/>
    <row r="727" spans="1:9" s="128" customFormat="1" ht="30" customHeight="1" x14ac:dyDescent="0.2">
      <c r="B727" s="279" t="s">
        <v>55</v>
      </c>
      <c r="C727" s="488" t="str">
        <f>PERFURAÇÃO!B43</f>
        <v>3.5</v>
      </c>
      <c r="D727" s="709" t="s">
        <v>56</v>
      </c>
      <c r="E727" s="709"/>
      <c r="F727" s="709"/>
      <c r="G727" s="709"/>
      <c r="H727" s="709"/>
      <c r="I727" s="710"/>
    </row>
    <row r="728" spans="1:9" s="128" customFormat="1" ht="30" customHeight="1" x14ac:dyDescent="0.2">
      <c r="B728" s="713" t="s">
        <v>402</v>
      </c>
      <c r="C728" s="691"/>
      <c r="D728" s="691"/>
      <c r="E728" s="691"/>
      <c r="F728" s="691"/>
      <c r="G728" s="692"/>
      <c r="H728" s="669" t="s">
        <v>568</v>
      </c>
      <c r="I728" s="714"/>
    </row>
    <row r="729" spans="1:9" s="128" customFormat="1" ht="30" customHeight="1" x14ac:dyDescent="0.2">
      <c r="B729" s="712" t="s">
        <v>414</v>
      </c>
      <c r="C729" s="685"/>
      <c r="D729" s="685"/>
      <c r="E729" s="685"/>
      <c r="F729" s="685"/>
      <c r="G729" s="685"/>
      <c r="H729" s="34" t="s">
        <v>57</v>
      </c>
      <c r="I729" s="213" t="s">
        <v>27</v>
      </c>
    </row>
    <row r="730" spans="1:9" s="128" customFormat="1" ht="30" customHeight="1" x14ac:dyDescent="0.2">
      <c r="B730" s="634" t="s">
        <v>58</v>
      </c>
      <c r="C730" s="597"/>
      <c r="D730" s="597"/>
      <c r="E730" s="597"/>
      <c r="F730" s="597"/>
      <c r="G730" s="597"/>
      <c r="H730" s="597"/>
      <c r="I730" s="635"/>
    </row>
    <row r="731" spans="1:9" ht="25.5" x14ac:dyDescent="0.2">
      <c r="A731" s="93"/>
      <c r="B731" s="214" t="s">
        <v>59</v>
      </c>
      <c r="C731" s="173" t="s">
        <v>5</v>
      </c>
      <c r="D731" s="36" t="s">
        <v>6</v>
      </c>
      <c r="E731" s="36" t="s">
        <v>61</v>
      </c>
      <c r="F731" s="36" t="s">
        <v>62</v>
      </c>
      <c r="G731" s="36" t="s">
        <v>63</v>
      </c>
      <c r="H731" s="36" t="s">
        <v>64</v>
      </c>
      <c r="I731" s="215" t="s">
        <v>65</v>
      </c>
    </row>
    <row r="732" spans="1:9" s="128" customFormat="1" ht="15" customHeight="1" x14ac:dyDescent="0.2">
      <c r="B732" s="84" t="s">
        <v>97</v>
      </c>
      <c r="C732" s="85" t="s">
        <v>67</v>
      </c>
      <c r="D732" s="86">
        <v>1</v>
      </c>
      <c r="E732" s="49"/>
      <c r="F732" s="49"/>
      <c r="G732" s="56">
        <f>INSUMOS!E100</f>
        <v>3.17</v>
      </c>
      <c r="H732" s="49"/>
      <c r="I732" s="280">
        <f>D732*G732</f>
        <v>3.17</v>
      </c>
    </row>
    <row r="733" spans="1:9" s="128" customFormat="1" ht="15" customHeight="1" x14ac:dyDescent="0.2">
      <c r="B733" s="97" t="s">
        <v>103</v>
      </c>
      <c r="C733" s="88" t="s">
        <v>67</v>
      </c>
      <c r="D733" s="89">
        <v>0.65</v>
      </c>
      <c r="E733" s="47"/>
      <c r="F733" s="276"/>
      <c r="G733" s="239">
        <f>INSUMOS!E102</f>
        <v>12.39</v>
      </c>
      <c r="H733" s="276"/>
      <c r="I733" s="280">
        <f>D733*G733</f>
        <v>8.0500000000000007</v>
      </c>
    </row>
    <row r="734" spans="1:9" ht="15.95" customHeight="1" x14ac:dyDescent="0.2">
      <c r="B734" s="636" t="s">
        <v>69</v>
      </c>
      <c r="C734" s="598"/>
      <c r="D734" s="598"/>
      <c r="E734" s="598"/>
      <c r="F734" s="598"/>
      <c r="G734" s="598"/>
      <c r="H734" s="598"/>
      <c r="I734" s="230">
        <f>SUM(I732:I733)</f>
        <v>11.22</v>
      </c>
    </row>
    <row r="735" spans="1:9" s="128" customFormat="1" ht="30" customHeight="1" x14ac:dyDescent="0.2">
      <c r="B735" s="634" t="s">
        <v>70</v>
      </c>
      <c r="C735" s="597"/>
      <c r="D735" s="597"/>
      <c r="E735" s="597"/>
      <c r="F735" s="597"/>
      <c r="G735" s="597"/>
      <c r="H735" s="597"/>
      <c r="I735" s="635"/>
    </row>
    <row r="736" spans="1:9" x14ac:dyDescent="0.2">
      <c r="B736" s="294" t="s">
        <v>59</v>
      </c>
      <c r="C736" s="182" t="s">
        <v>5</v>
      </c>
      <c r="D736" s="47" t="s">
        <v>6</v>
      </c>
      <c r="E736" s="46"/>
      <c r="F736" s="46"/>
      <c r="G736" s="46"/>
      <c r="H736" s="47" t="s">
        <v>71</v>
      </c>
      <c r="I736" s="234" t="s">
        <v>65</v>
      </c>
    </row>
    <row r="737" spans="2:9" x14ac:dyDescent="0.2">
      <c r="B737" s="281"/>
      <c r="C737" s="88"/>
      <c r="D737" s="89"/>
      <c r="E737" s="46"/>
      <c r="F737" s="46"/>
      <c r="G737" s="46"/>
      <c r="H737" s="47"/>
      <c r="I737" s="234">
        <f>H737*D737</f>
        <v>0</v>
      </c>
    </row>
    <row r="738" spans="2:9" x14ac:dyDescent="0.2">
      <c r="B738" s="636" t="s">
        <v>69</v>
      </c>
      <c r="C738" s="598"/>
      <c r="D738" s="598"/>
      <c r="E738" s="598"/>
      <c r="F738" s="598"/>
      <c r="G738" s="598"/>
      <c r="H738" s="598"/>
      <c r="I738" s="234">
        <f>SUM(I737:I737)</f>
        <v>0</v>
      </c>
    </row>
    <row r="739" spans="2:9" s="128" customFormat="1" ht="30" customHeight="1" x14ac:dyDescent="0.2">
      <c r="B739" s="634" t="s">
        <v>72</v>
      </c>
      <c r="C739" s="597"/>
      <c r="D739" s="597"/>
      <c r="E739" s="597"/>
      <c r="F739" s="597"/>
      <c r="G739" s="597"/>
      <c r="H739" s="597"/>
      <c r="I739" s="635"/>
    </row>
    <row r="740" spans="2:9" x14ac:dyDescent="0.2">
      <c r="B740" s="282" t="s">
        <v>59</v>
      </c>
      <c r="C740" s="71" t="s">
        <v>5</v>
      </c>
      <c r="D740" s="47" t="s">
        <v>6</v>
      </c>
      <c r="E740" s="46"/>
      <c r="F740" s="46"/>
      <c r="G740" s="46"/>
      <c r="H740" s="47" t="s">
        <v>71</v>
      </c>
      <c r="I740" s="234" t="s">
        <v>65</v>
      </c>
    </row>
    <row r="741" spans="2:9" x14ac:dyDescent="0.2">
      <c r="B741" s="283"/>
      <c r="C741" s="47"/>
      <c r="D741" s="47"/>
      <c r="E741" s="46"/>
      <c r="F741" s="46"/>
      <c r="G741" s="46"/>
      <c r="H741" s="47"/>
      <c r="I741" s="234">
        <f>D741*H741</f>
        <v>0</v>
      </c>
    </row>
    <row r="742" spans="2:9" x14ac:dyDescent="0.2">
      <c r="B742" s="636" t="s">
        <v>69</v>
      </c>
      <c r="C742" s="598"/>
      <c r="D742" s="598"/>
      <c r="E742" s="598"/>
      <c r="F742" s="598"/>
      <c r="G742" s="598"/>
      <c r="H742" s="598"/>
      <c r="I742" s="234">
        <f>SUM(I741:I741)</f>
        <v>0</v>
      </c>
    </row>
    <row r="743" spans="2:9" s="128" customFormat="1" ht="30" customHeight="1" x14ac:dyDescent="0.2">
      <c r="B743" s="634" t="s">
        <v>74</v>
      </c>
      <c r="C743" s="597"/>
      <c r="D743" s="597"/>
      <c r="E743" s="597"/>
      <c r="F743" s="597"/>
      <c r="G743" s="597"/>
      <c r="H743" s="597"/>
      <c r="I743" s="635"/>
    </row>
    <row r="744" spans="2:9" ht="15.95" customHeight="1" x14ac:dyDescent="0.2">
      <c r="B744" s="294" t="s">
        <v>59</v>
      </c>
      <c r="C744" s="182" t="s">
        <v>5</v>
      </c>
      <c r="D744" s="145" t="s">
        <v>6</v>
      </c>
      <c r="E744" s="46"/>
      <c r="F744" s="46"/>
      <c r="G744" s="46"/>
      <c r="H744" s="47" t="s">
        <v>71</v>
      </c>
      <c r="I744" s="234" t="s">
        <v>65</v>
      </c>
    </row>
    <row r="745" spans="2:9" ht="15.95" customHeight="1" x14ac:dyDescent="0.2">
      <c r="B745" s="53" t="s">
        <v>100</v>
      </c>
      <c r="C745" s="71" t="s">
        <v>67</v>
      </c>
      <c r="D745" s="47">
        <v>2</v>
      </c>
      <c r="E745" s="290"/>
      <c r="F745" s="46"/>
      <c r="G745" s="46"/>
      <c r="H745" s="56">
        <f>INSUMOS!E17</f>
        <v>8.52</v>
      </c>
      <c r="I745" s="234">
        <f>H745*D745</f>
        <v>17.04</v>
      </c>
    </row>
    <row r="746" spans="2:9" ht="15.95" customHeight="1" x14ac:dyDescent="0.2">
      <c r="B746" s="91" t="s">
        <v>75</v>
      </c>
      <c r="C746" s="71" t="s">
        <v>67</v>
      </c>
      <c r="D746" s="47">
        <v>0.53</v>
      </c>
      <c r="E746" s="291"/>
      <c r="F746" s="238"/>
      <c r="G746" s="46"/>
      <c r="H746" s="56">
        <f>INSUMOS!E14</f>
        <v>3.42</v>
      </c>
      <c r="I746" s="234">
        <f>H746*D746</f>
        <v>1.81</v>
      </c>
    </row>
    <row r="747" spans="2:9" ht="15.95" customHeight="1" x14ac:dyDescent="0.2">
      <c r="B747" s="91" t="s">
        <v>106</v>
      </c>
      <c r="C747" s="71" t="s">
        <v>67</v>
      </c>
      <c r="D747" s="47">
        <v>3.5</v>
      </c>
      <c r="E747" s="292"/>
      <c r="F747" s="238"/>
      <c r="G747" s="46"/>
      <c r="H747" s="56">
        <f>INSUMOS!E22</f>
        <v>8.76</v>
      </c>
      <c r="I747" s="234">
        <f>H747*D747</f>
        <v>30.66</v>
      </c>
    </row>
    <row r="748" spans="2:9" ht="15.95" customHeight="1" x14ac:dyDescent="0.2">
      <c r="B748" s="599" t="s">
        <v>641</v>
      </c>
      <c r="C748" s="599"/>
      <c r="D748" s="599"/>
      <c r="E748" s="599"/>
      <c r="F748" s="599"/>
      <c r="G748" s="599"/>
      <c r="H748" s="599"/>
      <c r="I748" s="234">
        <f>SUM(I745:I747)*0.9103</f>
        <v>45.07</v>
      </c>
    </row>
    <row r="749" spans="2:9" ht="15.95" customHeight="1" x14ac:dyDescent="0.2">
      <c r="B749" s="636" t="s">
        <v>69</v>
      </c>
      <c r="C749" s="598"/>
      <c r="D749" s="598"/>
      <c r="E749" s="598"/>
      <c r="F749" s="598"/>
      <c r="G749" s="598"/>
      <c r="H749" s="598"/>
      <c r="I749" s="230">
        <f>SUM(I745:I748)</f>
        <v>94.58</v>
      </c>
    </row>
    <row r="750" spans="2:9" ht="15.95" customHeight="1" x14ac:dyDescent="0.2">
      <c r="B750" s="236" t="s">
        <v>76</v>
      </c>
      <c r="C750" s="149">
        <v>1</v>
      </c>
      <c r="D750" s="671" t="s">
        <v>77</v>
      </c>
      <c r="E750" s="672"/>
      <c r="F750" s="672"/>
      <c r="G750" s="672"/>
      <c r="H750" s="673"/>
      <c r="I750" s="230">
        <f>I734+I738+I742+I749</f>
        <v>105.8</v>
      </c>
    </row>
    <row r="751" spans="2:9" ht="15.95" customHeight="1" x14ac:dyDescent="0.2">
      <c r="B751" s="705"/>
      <c r="C751" s="594"/>
      <c r="D751" s="594"/>
      <c r="E751" s="594"/>
      <c r="F751" s="594"/>
      <c r="G751" s="594"/>
      <c r="H751" s="595"/>
      <c r="I751" s="230">
        <f>I750/C750</f>
        <v>105.8</v>
      </c>
    </row>
    <row r="752" spans="2:9" ht="15.95" customHeight="1" x14ac:dyDescent="0.2">
      <c r="B752" s="237" t="s">
        <v>346</v>
      </c>
      <c r="C752" s="146">
        <v>25</v>
      </c>
      <c r="D752" s="147" t="s">
        <v>272</v>
      </c>
      <c r="E752" s="137"/>
      <c r="F752" s="137"/>
      <c r="G752" s="137"/>
      <c r="H752" s="138"/>
      <c r="I752" s="234">
        <f>C752/100*I751</f>
        <v>26.45</v>
      </c>
    </row>
    <row r="753" spans="1:9" s="128" customFormat="1" ht="30" customHeight="1" thickBot="1" x14ac:dyDescent="0.25">
      <c r="B753" s="629" t="s">
        <v>78</v>
      </c>
      <c r="C753" s="630"/>
      <c r="D753" s="630"/>
      <c r="E753" s="630"/>
      <c r="F753" s="630"/>
      <c r="G753" s="630"/>
      <c r="H753" s="630"/>
      <c r="I753" s="136">
        <f>SUM(I751:I752)</f>
        <v>132.25</v>
      </c>
    </row>
    <row r="759" spans="1:9" ht="13.5" thickBot="1" x14ac:dyDescent="0.25"/>
    <row r="760" spans="1:9" s="128" customFormat="1" ht="30" customHeight="1" x14ac:dyDescent="0.2">
      <c r="B760" s="202" t="s">
        <v>55</v>
      </c>
      <c r="C760" s="488" t="str">
        <f>PERFURAÇÃO!B45</f>
        <v>3.7</v>
      </c>
      <c r="D760" s="665" t="s">
        <v>56</v>
      </c>
      <c r="E760" s="665"/>
      <c r="F760" s="665"/>
      <c r="G760" s="665"/>
      <c r="H760" s="665"/>
      <c r="I760" s="665"/>
    </row>
    <row r="761" spans="1:9" s="128" customFormat="1" ht="30" customHeight="1" x14ac:dyDescent="0.2">
      <c r="B761" s="666" t="s">
        <v>344</v>
      </c>
      <c r="C761" s="667"/>
      <c r="D761" s="667"/>
      <c r="E761" s="667"/>
      <c r="F761" s="667"/>
      <c r="G761" s="668"/>
      <c r="H761" s="669" t="s">
        <v>568</v>
      </c>
      <c r="I761" s="670"/>
    </row>
    <row r="762" spans="1:9" s="128" customFormat="1" ht="30" customHeight="1" x14ac:dyDescent="0.2">
      <c r="B762" s="664" t="s">
        <v>426</v>
      </c>
      <c r="C762" s="664"/>
      <c r="D762" s="664"/>
      <c r="E762" s="664"/>
      <c r="F762" s="664"/>
      <c r="G762" s="664"/>
      <c r="H762" s="34" t="s">
        <v>57</v>
      </c>
      <c r="I762" s="127" t="s">
        <v>398</v>
      </c>
    </row>
    <row r="763" spans="1:9" s="128" customFormat="1" ht="30" customHeight="1" x14ac:dyDescent="0.2">
      <c r="B763" s="597" t="s">
        <v>58</v>
      </c>
      <c r="C763" s="597"/>
      <c r="D763" s="597"/>
      <c r="E763" s="597"/>
      <c r="F763" s="597"/>
      <c r="G763" s="597"/>
      <c r="H763" s="597"/>
      <c r="I763" s="597"/>
    </row>
    <row r="764" spans="1:9" ht="25.5" x14ac:dyDescent="0.2">
      <c r="A764" s="93"/>
      <c r="B764" s="35" t="s">
        <v>59</v>
      </c>
      <c r="C764" s="173" t="s">
        <v>5</v>
      </c>
      <c r="D764" s="36" t="s">
        <v>6</v>
      </c>
      <c r="E764" s="36" t="s">
        <v>61</v>
      </c>
      <c r="F764" s="36" t="s">
        <v>62</v>
      </c>
      <c r="G764" s="36" t="s">
        <v>63</v>
      </c>
      <c r="H764" s="36" t="s">
        <v>64</v>
      </c>
      <c r="I764" s="37" t="s">
        <v>65</v>
      </c>
    </row>
    <row r="765" spans="1:9" ht="15.95" customHeight="1" x14ac:dyDescent="0.2">
      <c r="B765" s="97"/>
      <c r="C765" s="39"/>
      <c r="D765" s="141"/>
      <c r="E765" s="40"/>
      <c r="F765" s="40"/>
      <c r="G765" s="40"/>
      <c r="H765" s="40"/>
      <c r="I765" s="87">
        <f>D765*E765*G765+D765*F765*H765</f>
        <v>0</v>
      </c>
    </row>
    <row r="766" spans="1:9" ht="15.95" customHeight="1" x14ac:dyDescent="0.2">
      <c r="B766" s="598" t="s">
        <v>69</v>
      </c>
      <c r="C766" s="598"/>
      <c r="D766" s="598"/>
      <c r="E766" s="598"/>
      <c r="F766" s="598"/>
      <c r="G766" s="598"/>
      <c r="H766" s="598"/>
      <c r="I766" s="95">
        <f>SUM(I765:I765)</f>
        <v>0</v>
      </c>
    </row>
    <row r="767" spans="1:9" s="128" customFormat="1" ht="30" customHeight="1" x14ac:dyDescent="0.2">
      <c r="B767" s="597" t="s">
        <v>70</v>
      </c>
      <c r="C767" s="597"/>
      <c r="D767" s="597"/>
      <c r="E767" s="597"/>
      <c r="F767" s="597"/>
      <c r="G767" s="597"/>
      <c r="H767" s="597"/>
      <c r="I767" s="597"/>
    </row>
    <row r="768" spans="1:9" ht="15.95" customHeight="1" x14ac:dyDescent="0.2">
      <c r="B768" s="181" t="s">
        <v>59</v>
      </c>
      <c r="C768" s="182" t="s">
        <v>5</v>
      </c>
      <c r="D768" s="47" t="s">
        <v>6</v>
      </c>
      <c r="E768" s="46"/>
      <c r="F768" s="46"/>
      <c r="G768" s="46"/>
      <c r="H768" s="47" t="s">
        <v>71</v>
      </c>
      <c r="I768" s="90" t="s">
        <v>65</v>
      </c>
    </row>
    <row r="769" spans="2:11" ht="15.95" customHeight="1" x14ac:dyDescent="0.2">
      <c r="B769" s="84" t="s">
        <v>427</v>
      </c>
      <c r="C769" s="85" t="s">
        <v>398</v>
      </c>
      <c r="D769" s="86">
        <v>1</v>
      </c>
      <c r="E769" s="50"/>
      <c r="F769" s="50"/>
      <c r="G769" s="50"/>
      <c r="H769" s="56">
        <f>INSUMOS!E93</f>
        <v>46</v>
      </c>
      <c r="I769" s="90">
        <f>H769*D769</f>
        <v>46</v>
      </c>
      <c r="K769" s="51" t="s">
        <v>109</v>
      </c>
    </row>
    <row r="770" spans="2:11" ht="15.95" customHeight="1" x14ac:dyDescent="0.2">
      <c r="B770" s="97" t="s">
        <v>108</v>
      </c>
      <c r="C770" s="88" t="s">
        <v>95</v>
      </c>
      <c r="D770" s="89">
        <v>0.01</v>
      </c>
      <c r="E770" s="46"/>
      <c r="F770" s="46"/>
      <c r="G770" s="46"/>
      <c r="H770" s="56">
        <f>INSUMOS!E33</f>
        <v>14.25</v>
      </c>
      <c r="I770" s="90">
        <f>H770*D770</f>
        <v>0.14000000000000001</v>
      </c>
    </row>
    <row r="771" spans="2:11" ht="15.95" customHeight="1" x14ac:dyDescent="0.2">
      <c r="B771" s="99" t="s">
        <v>419</v>
      </c>
      <c r="C771" s="85" t="s">
        <v>398</v>
      </c>
      <c r="D771" s="86">
        <v>1</v>
      </c>
      <c r="E771" s="50"/>
      <c r="F771" s="50"/>
      <c r="G771" s="50"/>
      <c r="H771" s="56">
        <f>INSUMOS!E94</f>
        <v>8.86</v>
      </c>
      <c r="I771" s="90">
        <f>H771*D771</f>
        <v>8.86</v>
      </c>
    </row>
    <row r="772" spans="2:11" ht="15.95" customHeight="1" x14ac:dyDescent="0.2">
      <c r="B772" s="598" t="s">
        <v>69</v>
      </c>
      <c r="C772" s="598"/>
      <c r="D772" s="598"/>
      <c r="E772" s="598"/>
      <c r="F772" s="598"/>
      <c r="G772" s="598"/>
      <c r="H772" s="598"/>
      <c r="I772" s="90">
        <f>SUM(I769:I771)</f>
        <v>55</v>
      </c>
    </row>
    <row r="773" spans="2:11" s="128" customFormat="1" ht="30" customHeight="1" x14ac:dyDescent="0.2">
      <c r="B773" s="597" t="s">
        <v>72</v>
      </c>
      <c r="C773" s="597"/>
      <c r="D773" s="597"/>
      <c r="E773" s="597"/>
      <c r="F773" s="597"/>
      <c r="G773" s="597"/>
      <c r="H773" s="597"/>
      <c r="I773" s="597"/>
    </row>
    <row r="774" spans="2:11" ht="15.95" customHeight="1" x14ac:dyDescent="0.2">
      <c r="B774" s="45" t="s">
        <v>59</v>
      </c>
      <c r="C774" s="71" t="s">
        <v>5</v>
      </c>
      <c r="D774" s="47" t="s">
        <v>6</v>
      </c>
      <c r="E774" s="46"/>
      <c r="F774" s="46"/>
      <c r="G774" s="46"/>
      <c r="H774" s="47" t="s">
        <v>71</v>
      </c>
      <c r="I774" s="90" t="s">
        <v>65</v>
      </c>
    </row>
    <row r="775" spans="2:11" ht="15.95" customHeight="1" x14ac:dyDescent="0.2">
      <c r="B775" s="48"/>
      <c r="C775" s="47"/>
      <c r="D775" s="47"/>
      <c r="E775" s="46"/>
      <c r="F775" s="46"/>
      <c r="G775" s="46"/>
      <c r="H775" s="47"/>
      <c r="I775" s="90">
        <f>D775*H775</f>
        <v>0</v>
      </c>
    </row>
    <row r="776" spans="2:11" ht="15.95" customHeight="1" x14ac:dyDescent="0.2">
      <c r="B776" s="598" t="s">
        <v>69</v>
      </c>
      <c r="C776" s="598"/>
      <c r="D776" s="598"/>
      <c r="E776" s="598"/>
      <c r="F776" s="598"/>
      <c r="G776" s="598"/>
      <c r="H776" s="598"/>
      <c r="I776" s="90">
        <f>SUM(I775:I775)</f>
        <v>0</v>
      </c>
    </row>
    <row r="777" spans="2:11" s="128" customFormat="1" ht="30" customHeight="1" x14ac:dyDescent="0.2">
      <c r="B777" s="597" t="s">
        <v>74</v>
      </c>
      <c r="C777" s="597"/>
      <c r="D777" s="597"/>
      <c r="E777" s="597"/>
      <c r="F777" s="597"/>
      <c r="G777" s="597"/>
      <c r="H777" s="597"/>
      <c r="I777" s="597"/>
    </row>
    <row r="778" spans="2:11" ht="15.95" customHeight="1" x14ac:dyDescent="0.2">
      <c r="B778" s="181" t="s">
        <v>59</v>
      </c>
      <c r="C778" s="182" t="s">
        <v>5</v>
      </c>
      <c r="D778" s="145" t="s">
        <v>6</v>
      </c>
      <c r="E778" s="46"/>
      <c r="F778" s="46"/>
      <c r="G778" s="46"/>
      <c r="H778" s="47" t="s">
        <v>71</v>
      </c>
      <c r="I778" s="90" t="s">
        <v>65</v>
      </c>
    </row>
    <row r="779" spans="2:11" ht="15.95" customHeight="1" x14ac:dyDescent="0.2">
      <c r="B779" s="53" t="s">
        <v>100</v>
      </c>
      <c r="C779" s="71" t="s">
        <v>67</v>
      </c>
      <c r="D779" s="47">
        <v>0.2</v>
      </c>
      <c r="E779" s="46"/>
      <c r="F779" s="46"/>
      <c r="G779" s="46"/>
      <c r="H779" s="56">
        <f>INSUMOS!E17</f>
        <v>8.52</v>
      </c>
      <c r="I779" s="90">
        <f>H779*D779</f>
        <v>1.7</v>
      </c>
    </row>
    <row r="780" spans="2:11" ht="15.95" customHeight="1" x14ac:dyDescent="0.2">
      <c r="B780" s="91" t="s">
        <v>75</v>
      </c>
      <c r="C780" s="71" t="s">
        <v>67</v>
      </c>
      <c r="D780" s="47">
        <v>0.2</v>
      </c>
      <c r="E780" s="46"/>
      <c r="F780" s="46"/>
      <c r="G780" s="46"/>
      <c r="H780" s="56">
        <f>INSUMOS!E14</f>
        <v>3.42</v>
      </c>
      <c r="I780" s="90">
        <f>H780*D780</f>
        <v>0.68</v>
      </c>
    </row>
    <row r="781" spans="2:11" ht="15.95" customHeight="1" x14ac:dyDescent="0.2">
      <c r="B781" s="599" t="s">
        <v>641</v>
      </c>
      <c r="C781" s="599"/>
      <c r="D781" s="599"/>
      <c r="E781" s="599"/>
      <c r="F781" s="599"/>
      <c r="G781" s="599"/>
      <c r="H781" s="599"/>
      <c r="I781" s="90">
        <f>SUM(I779:I780)*0.9103</f>
        <v>2.17</v>
      </c>
    </row>
    <row r="782" spans="2:11" ht="15.95" customHeight="1" x14ac:dyDescent="0.2">
      <c r="B782" s="598" t="s">
        <v>69</v>
      </c>
      <c r="C782" s="598"/>
      <c r="D782" s="598"/>
      <c r="E782" s="598"/>
      <c r="F782" s="598"/>
      <c r="G782" s="598"/>
      <c r="H782" s="598"/>
      <c r="I782" s="95">
        <f>SUM(I779:I781)</f>
        <v>4.55</v>
      </c>
    </row>
    <row r="783" spans="2:11" ht="15.95" customHeight="1" x14ac:dyDescent="0.2">
      <c r="B783" s="148" t="s">
        <v>76</v>
      </c>
      <c r="C783" s="149">
        <v>1</v>
      </c>
      <c r="D783" s="671" t="s">
        <v>77</v>
      </c>
      <c r="E783" s="672"/>
      <c r="F783" s="672"/>
      <c r="G783" s="672"/>
      <c r="H783" s="673"/>
      <c r="I783" s="95">
        <f>I766+I772+I776+I782</f>
        <v>59.55</v>
      </c>
    </row>
    <row r="784" spans="2:11" ht="15.95" customHeight="1" x14ac:dyDescent="0.2">
      <c r="B784" s="593"/>
      <c r="C784" s="594"/>
      <c r="D784" s="594"/>
      <c r="E784" s="594"/>
      <c r="F784" s="594"/>
      <c r="G784" s="594"/>
      <c r="H784" s="595"/>
      <c r="I784" s="95">
        <f>I783/C783</f>
        <v>59.55</v>
      </c>
    </row>
    <row r="785" spans="1:9" ht="15.95" customHeight="1" x14ac:dyDescent="0.2">
      <c r="B785" s="140" t="s">
        <v>346</v>
      </c>
      <c r="C785" s="146">
        <v>25</v>
      </c>
      <c r="D785" s="147" t="s">
        <v>272</v>
      </c>
      <c r="E785" s="137"/>
      <c r="F785" s="137"/>
      <c r="G785" s="137"/>
      <c r="H785" s="138"/>
      <c r="I785" s="90">
        <f>C785/100*I784</f>
        <v>14.89</v>
      </c>
    </row>
    <row r="786" spans="1:9" s="128" customFormat="1" ht="30" customHeight="1" thickBot="1" x14ac:dyDescent="0.25">
      <c r="B786" s="596" t="s">
        <v>78</v>
      </c>
      <c r="C786" s="596"/>
      <c r="D786" s="596"/>
      <c r="E786" s="596"/>
      <c r="F786" s="596"/>
      <c r="G786" s="596"/>
      <c r="H786" s="596"/>
      <c r="I786" s="136">
        <f>SUM(I784:I785)</f>
        <v>74.44</v>
      </c>
    </row>
    <row r="791" spans="1:9" ht="13.5" thickBot="1" x14ac:dyDescent="0.25"/>
    <row r="792" spans="1:9" s="128" customFormat="1" ht="30" customHeight="1" x14ac:dyDescent="0.2">
      <c r="B792" s="202" t="s">
        <v>55</v>
      </c>
      <c r="C792" s="488" t="str">
        <f>PERFURAÇÃO!B47</f>
        <v>3.9</v>
      </c>
      <c r="D792" s="665" t="s">
        <v>56</v>
      </c>
      <c r="E792" s="665"/>
      <c r="F792" s="665"/>
      <c r="G792" s="665"/>
      <c r="H792" s="665"/>
      <c r="I792" s="665"/>
    </row>
    <row r="793" spans="1:9" s="128" customFormat="1" ht="30" customHeight="1" x14ac:dyDescent="0.2">
      <c r="B793" s="666" t="s">
        <v>344</v>
      </c>
      <c r="C793" s="667"/>
      <c r="D793" s="667"/>
      <c r="E793" s="667"/>
      <c r="F793" s="667"/>
      <c r="G793" s="668"/>
      <c r="H793" s="669" t="s">
        <v>568</v>
      </c>
      <c r="I793" s="670"/>
    </row>
    <row r="794" spans="1:9" s="128" customFormat="1" ht="30" customHeight="1" x14ac:dyDescent="0.2">
      <c r="B794" s="694" t="s">
        <v>434</v>
      </c>
      <c r="C794" s="632"/>
      <c r="D794" s="632"/>
      <c r="E794" s="632"/>
      <c r="F794" s="632"/>
      <c r="G794" s="633"/>
      <c r="H794" s="34" t="s">
        <v>57</v>
      </c>
      <c r="I794" s="127" t="s">
        <v>27</v>
      </c>
    </row>
    <row r="795" spans="1:9" s="128" customFormat="1" ht="30" customHeight="1" x14ac:dyDescent="0.2">
      <c r="B795" s="597" t="s">
        <v>58</v>
      </c>
      <c r="C795" s="597"/>
      <c r="D795" s="597"/>
      <c r="E795" s="597"/>
      <c r="F795" s="597"/>
      <c r="G795" s="597"/>
      <c r="H795" s="597"/>
      <c r="I795" s="597"/>
    </row>
    <row r="796" spans="1:9" ht="25.5" x14ac:dyDescent="0.2">
      <c r="A796" s="93"/>
      <c r="B796" s="35" t="s">
        <v>59</v>
      </c>
      <c r="C796" s="173" t="s">
        <v>5</v>
      </c>
      <c r="D796" s="36" t="s">
        <v>6</v>
      </c>
      <c r="E796" s="36" t="s">
        <v>61</v>
      </c>
      <c r="F796" s="36" t="s">
        <v>62</v>
      </c>
      <c r="G796" s="36" t="s">
        <v>63</v>
      </c>
      <c r="H796" s="36" t="s">
        <v>64</v>
      </c>
      <c r="I796" s="37" t="s">
        <v>65</v>
      </c>
    </row>
    <row r="797" spans="1:9" ht="15.95" customHeight="1" x14ac:dyDescent="0.2">
      <c r="B797" s="97"/>
      <c r="C797" s="39"/>
      <c r="D797" s="141"/>
      <c r="E797" s="40"/>
      <c r="F797" s="40"/>
      <c r="G797" s="40"/>
      <c r="H797" s="40"/>
      <c r="I797" s="87">
        <f>D797*E797*G797+D797*F797*H797</f>
        <v>0</v>
      </c>
    </row>
    <row r="798" spans="1:9" ht="15.95" customHeight="1" x14ac:dyDescent="0.2">
      <c r="B798" s="598" t="s">
        <v>69</v>
      </c>
      <c r="C798" s="598"/>
      <c r="D798" s="598"/>
      <c r="E798" s="598"/>
      <c r="F798" s="598"/>
      <c r="G798" s="598"/>
      <c r="H798" s="598"/>
      <c r="I798" s="95">
        <f>SUM(I797:I797)</f>
        <v>0</v>
      </c>
    </row>
    <row r="799" spans="1:9" s="128" customFormat="1" ht="30" customHeight="1" x14ac:dyDescent="0.2">
      <c r="B799" s="597" t="s">
        <v>70</v>
      </c>
      <c r="C799" s="597"/>
      <c r="D799" s="597"/>
      <c r="E799" s="597"/>
      <c r="F799" s="597"/>
      <c r="G799" s="597"/>
      <c r="H799" s="597"/>
      <c r="I799" s="597"/>
    </row>
    <row r="800" spans="1:9" x14ac:dyDescent="0.2">
      <c r="B800" s="181" t="s">
        <v>59</v>
      </c>
      <c r="C800" s="182" t="s">
        <v>5</v>
      </c>
      <c r="D800" s="47" t="s">
        <v>6</v>
      </c>
      <c r="E800" s="46"/>
      <c r="F800" s="46"/>
      <c r="G800" s="46"/>
      <c r="H800" s="47" t="s">
        <v>71</v>
      </c>
      <c r="I800" s="90" t="s">
        <v>65</v>
      </c>
    </row>
    <row r="801" spans="2:9" ht="15.75" customHeight="1" x14ac:dyDescent="0.2">
      <c r="B801" s="310" t="s">
        <v>416</v>
      </c>
      <c r="C801" s="311" t="s">
        <v>27</v>
      </c>
      <c r="D801" s="312">
        <v>1</v>
      </c>
      <c r="E801" s="50"/>
      <c r="F801" s="50"/>
      <c r="G801" s="50"/>
      <c r="H801" s="56">
        <f>INSUMOS!E96</f>
        <v>147.05000000000001</v>
      </c>
      <c r="I801" s="87">
        <f>H801*D801</f>
        <v>147.05000000000001</v>
      </c>
    </row>
    <row r="802" spans="2:9" ht="15.75" customHeight="1" x14ac:dyDescent="0.2">
      <c r="B802" s="313" t="s">
        <v>99</v>
      </c>
      <c r="C802" s="314" t="s">
        <v>95</v>
      </c>
      <c r="D802" s="170">
        <v>0.2</v>
      </c>
      <c r="E802" s="309"/>
      <c r="F802" s="50"/>
      <c r="G802" s="50"/>
      <c r="H802" s="56">
        <f>INSUMOS!E32</f>
        <v>2.38</v>
      </c>
      <c r="I802" s="87">
        <f>H802*D802</f>
        <v>0.48</v>
      </c>
    </row>
    <row r="803" spans="2:9" ht="15.75" customHeight="1" x14ac:dyDescent="0.2">
      <c r="B803" s="313" t="s">
        <v>433</v>
      </c>
      <c r="C803" s="314" t="s">
        <v>95</v>
      </c>
      <c r="D803" s="170">
        <v>0.01</v>
      </c>
      <c r="E803" s="309"/>
      <c r="F803" s="50"/>
      <c r="G803" s="50"/>
      <c r="H803" s="56">
        <f>INSUMOS!E33</f>
        <v>14.25</v>
      </c>
      <c r="I803" s="87">
        <f>H803*D803</f>
        <v>0.14000000000000001</v>
      </c>
    </row>
    <row r="804" spans="2:9" ht="15.95" customHeight="1" x14ac:dyDescent="0.2">
      <c r="B804" s="598" t="s">
        <v>69</v>
      </c>
      <c r="C804" s="598"/>
      <c r="D804" s="598"/>
      <c r="E804" s="598"/>
      <c r="F804" s="598"/>
      <c r="G804" s="598"/>
      <c r="H804" s="598"/>
      <c r="I804" s="90">
        <f>SUM(I801:I803)</f>
        <v>147.66999999999999</v>
      </c>
    </row>
    <row r="805" spans="2:9" s="128" customFormat="1" ht="30" customHeight="1" x14ac:dyDescent="0.2">
      <c r="B805" s="597" t="s">
        <v>72</v>
      </c>
      <c r="C805" s="597"/>
      <c r="D805" s="597"/>
      <c r="E805" s="597"/>
      <c r="F805" s="597"/>
      <c r="G805" s="597"/>
      <c r="H805" s="597"/>
      <c r="I805" s="597"/>
    </row>
    <row r="806" spans="2:9" ht="15.95" customHeight="1" x14ac:dyDescent="0.2">
      <c r="B806" s="45" t="s">
        <v>59</v>
      </c>
      <c r="C806" s="71" t="s">
        <v>5</v>
      </c>
      <c r="D806" s="47" t="s">
        <v>6</v>
      </c>
      <c r="E806" s="46"/>
      <c r="F806" s="46"/>
      <c r="G806" s="46"/>
      <c r="H806" s="47" t="s">
        <v>71</v>
      </c>
      <c r="I806" s="90" t="s">
        <v>65</v>
      </c>
    </row>
    <row r="807" spans="2:9" ht="15.95" customHeight="1" x14ac:dyDescent="0.2">
      <c r="B807" s="48"/>
      <c r="C807" s="47"/>
      <c r="D807" s="47"/>
      <c r="E807" s="46"/>
      <c r="F807" s="46"/>
      <c r="G807" s="46"/>
      <c r="H807" s="47"/>
      <c r="I807" s="90">
        <f>D807*H807</f>
        <v>0</v>
      </c>
    </row>
    <row r="808" spans="2:9" ht="15.95" customHeight="1" x14ac:dyDescent="0.2">
      <c r="B808" s="598" t="s">
        <v>69</v>
      </c>
      <c r="C808" s="598"/>
      <c r="D808" s="598"/>
      <c r="E808" s="598"/>
      <c r="F808" s="598"/>
      <c r="G808" s="598"/>
      <c r="H808" s="598"/>
      <c r="I808" s="90">
        <f>SUM(I807:I807)</f>
        <v>0</v>
      </c>
    </row>
    <row r="809" spans="2:9" s="128" customFormat="1" ht="30" customHeight="1" x14ac:dyDescent="0.2">
      <c r="B809" s="597" t="s">
        <v>74</v>
      </c>
      <c r="C809" s="597"/>
      <c r="D809" s="597"/>
      <c r="E809" s="597"/>
      <c r="F809" s="597"/>
      <c r="G809" s="597"/>
      <c r="H809" s="597"/>
      <c r="I809" s="597"/>
    </row>
    <row r="810" spans="2:9" ht="15.95" customHeight="1" x14ac:dyDescent="0.2">
      <c r="B810" s="181" t="s">
        <v>59</v>
      </c>
      <c r="C810" s="182" t="s">
        <v>5</v>
      </c>
      <c r="D810" s="145" t="s">
        <v>6</v>
      </c>
      <c r="E810" s="46"/>
      <c r="F810" s="46"/>
      <c r="G810" s="46"/>
      <c r="H810" s="47" t="s">
        <v>71</v>
      </c>
      <c r="I810" s="90" t="s">
        <v>65</v>
      </c>
    </row>
    <row r="811" spans="2:9" ht="15.95" customHeight="1" x14ac:dyDescent="0.2">
      <c r="B811" s="53" t="s">
        <v>100</v>
      </c>
      <c r="C811" s="71" t="s">
        <v>67</v>
      </c>
      <c r="D811" s="47">
        <v>1.5</v>
      </c>
      <c r="E811" s="46"/>
      <c r="F811" s="46"/>
      <c r="G811" s="46"/>
      <c r="H811" s="56">
        <f>INSUMOS!E17</f>
        <v>8.52</v>
      </c>
      <c r="I811" s="90">
        <f>H811*D811</f>
        <v>12.78</v>
      </c>
    </row>
    <row r="812" spans="2:9" ht="15.95" customHeight="1" x14ac:dyDescent="0.2">
      <c r="B812" s="91" t="s">
        <v>75</v>
      </c>
      <c r="C812" s="71" t="s">
        <v>67</v>
      </c>
      <c r="D812" s="47">
        <v>2.5</v>
      </c>
      <c r="E812" s="46"/>
      <c r="F812" s="46"/>
      <c r="G812" s="46"/>
      <c r="H812" s="56">
        <f>INSUMOS!E14</f>
        <v>3.42</v>
      </c>
      <c r="I812" s="90">
        <f>H812*D812</f>
        <v>8.5500000000000007</v>
      </c>
    </row>
    <row r="813" spans="2:9" ht="15.95" customHeight="1" x14ac:dyDescent="0.2">
      <c r="B813" s="599" t="s">
        <v>641</v>
      </c>
      <c r="C813" s="599"/>
      <c r="D813" s="599"/>
      <c r="E813" s="599"/>
      <c r="F813" s="599"/>
      <c r="G813" s="599"/>
      <c r="H813" s="599"/>
      <c r="I813" s="90">
        <f>SUM(I811:I812)*0.9103</f>
        <v>19.420000000000002</v>
      </c>
    </row>
    <row r="814" spans="2:9" ht="15.95" customHeight="1" x14ac:dyDescent="0.2">
      <c r="B814" s="598" t="s">
        <v>69</v>
      </c>
      <c r="C814" s="598"/>
      <c r="D814" s="598"/>
      <c r="E814" s="598"/>
      <c r="F814" s="598"/>
      <c r="G814" s="598"/>
      <c r="H814" s="598"/>
      <c r="I814" s="92">
        <f>SUM(I811:I813)</f>
        <v>40.75</v>
      </c>
    </row>
    <row r="815" spans="2:9" ht="15.95" customHeight="1" x14ac:dyDescent="0.2">
      <c r="B815" s="148" t="s">
        <v>76</v>
      </c>
      <c r="C815" s="149">
        <v>1</v>
      </c>
      <c r="D815" s="671" t="s">
        <v>77</v>
      </c>
      <c r="E815" s="672"/>
      <c r="F815" s="672"/>
      <c r="G815" s="672"/>
      <c r="H815" s="673"/>
      <c r="I815" s="92">
        <f>I798+I804+I808+I814</f>
        <v>188.42</v>
      </c>
    </row>
    <row r="816" spans="2:9" ht="15.95" customHeight="1" x14ac:dyDescent="0.2">
      <c r="B816" s="593"/>
      <c r="C816" s="594"/>
      <c r="D816" s="594"/>
      <c r="E816" s="594"/>
      <c r="F816" s="594"/>
      <c r="G816" s="594"/>
      <c r="H816" s="595"/>
      <c r="I816" s="92">
        <f>I815/C815</f>
        <v>188.42</v>
      </c>
    </row>
    <row r="817" spans="1:9" ht="15.95" customHeight="1" x14ac:dyDescent="0.2">
      <c r="B817" s="140" t="s">
        <v>346</v>
      </c>
      <c r="C817" s="146">
        <v>25</v>
      </c>
      <c r="D817" s="147" t="s">
        <v>272</v>
      </c>
      <c r="E817" s="137"/>
      <c r="F817" s="137"/>
      <c r="G817" s="137"/>
      <c r="H817" s="138"/>
      <c r="I817" s="90">
        <f>C817/100*I816</f>
        <v>47.11</v>
      </c>
    </row>
    <row r="818" spans="1:9" s="128" customFormat="1" ht="30" customHeight="1" thickBot="1" x14ac:dyDescent="0.25">
      <c r="B818" s="728" t="s">
        <v>78</v>
      </c>
      <c r="C818" s="729"/>
      <c r="D818" s="729"/>
      <c r="E818" s="729"/>
      <c r="F818" s="729"/>
      <c r="G818" s="729"/>
      <c r="H818" s="730"/>
      <c r="I818" s="136">
        <f>SUM(I816:I817)</f>
        <v>235.53</v>
      </c>
    </row>
    <row r="823" spans="1:9" ht="13.5" thickBot="1" x14ac:dyDescent="0.25"/>
    <row r="824" spans="1:9" s="128" customFormat="1" ht="30" customHeight="1" x14ac:dyDescent="0.2">
      <c r="B824" s="202" t="s">
        <v>55</v>
      </c>
      <c r="C824" s="488" t="str">
        <f>PERFURAÇÃO!B49</f>
        <v>3.11</v>
      </c>
      <c r="D824" s="665" t="s">
        <v>56</v>
      </c>
      <c r="E824" s="665"/>
      <c r="F824" s="665"/>
      <c r="G824" s="665"/>
      <c r="H824" s="665"/>
      <c r="I824" s="665"/>
    </row>
    <row r="825" spans="1:9" s="128" customFormat="1" ht="30" customHeight="1" x14ac:dyDescent="0.2">
      <c r="B825" s="666" t="s">
        <v>344</v>
      </c>
      <c r="C825" s="667"/>
      <c r="D825" s="667"/>
      <c r="E825" s="667"/>
      <c r="F825" s="667"/>
      <c r="G825" s="668"/>
      <c r="H825" s="669" t="s">
        <v>568</v>
      </c>
      <c r="I825" s="670"/>
    </row>
    <row r="826" spans="1:9" s="128" customFormat="1" ht="30" customHeight="1" x14ac:dyDescent="0.2">
      <c r="B826" s="664" t="s">
        <v>436</v>
      </c>
      <c r="C826" s="664"/>
      <c r="D826" s="664"/>
      <c r="E826" s="664"/>
      <c r="F826" s="664"/>
      <c r="G826" s="664"/>
      <c r="H826" s="34" t="s">
        <v>57</v>
      </c>
      <c r="I826" s="127" t="s">
        <v>27</v>
      </c>
    </row>
    <row r="827" spans="1:9" s="128" customFormat="1" ht="30" customHeight="1" x14ac:dyDescent="0.2">
      <c r="B827" s="597" t="s">
        <v>58</v>
      </c>
      <c r="C827" s="597"/>
      <c r="D827" s="597"/>
      <c r="E827" s="597"/>
      <c r="F827" s="597"/>
      <c r="G827" s="597"/>
      <c r="H827" s="597"/>
      <c r="I827" s="597"/>
    </row>
    <row r="828" spans="1:9" ht="25.5" x14ac:dyDescent="0.2">
      <c r="A828" s="93"/>
      <c r="B828" s="35" t="s">
        <v>59</v>
      </c>
      <c r="C828" s="173" t="s">
        <v>5</v>
      </c>
      <c r="D828" s="36" t="s">
        <v>6</v>
      </c>
      <c r="E828" s="36" t="s">
        <v>61</v>
      </c>
      <c r="F828" s="36" t="s">
        <v>62</v>
      </c>
      <c r="G828" s="36" t="s">
        <v>63</v>
      </c>
      <c r="H828" s="36" t="s">
        <v>64</v>
      </c>
      <c r="I828" s="37" t="s">
        <v>65</v>
      </c>
    </row>
    <row r="829" spans="1:9" ht="15.95" customHeight="1" x14ac:dyDescent="0.2">
      <c r="B829" s="97"/>
      <c r="C829" s="39"/>
      <c r="D829" s="141"/>
      <c r="E829" s="40"/>
      <c r="F829" s="40"/>
      <c r="G829" s="40"/>
      <c r="H829" s="40"/>
      <c r="I829" s="87">
        <f>D829*E829*G829+D829*F829*H829</f>
        <v>0</v>
      </c>
    </row>
    <row r="830" spans="1:9" ht="15.95" customHeight="1" x14ac:dyDescent="0.2">
      <c r="B830" s="598" t="s">
        <v>69</v>
      </c>
      <c r="C830" s="598"/>
      <c r="D830" s="598"/>
      <c r="E830" s="598"/>
      <c r="F830" s="598"/>
      <c r="G830" s="598"/>
      <c r="H830" s="598"/>
      <c r="I830" s="95">
        <f>SUM(I829:I829)</f>
        <v>0</v>
      </c>
    </row>
    <row r="831" spans="1:9" s="128" customFormat="1" ht="30" customHeight="1" x14ac:dyDescent="0.2">
      <c r="B831" s="597" t="s">
        <v>70</v>
      </c>
      <c r="C831" s="597"/>
      <c r="D831" s="597"/>
      <c r="E831" s="597"/>
      <c r="F831" s="597"/>
      <c r="G831" s="597"/>
      <c r="H831" s="597"/>
      <c r="I831" s="597"/>
    </row>
    <row r="832" spans="1:9" x14ac:dyDescent="0.2">
      <c r="B832" s="181" t="s">
        <v>59</v>
      </c>
      <c r="C832" s="182" t="s">
        <v>5</v>
      </c>
      <c r="D832" s="47" t="s">
        <v>6</v>
      </c>
      <c r="E832" s="46"/>
      <c r="F832" s="46"/>
      <c r="G832" s="46"/>
      <c r="H832" s="47" t="s">
        <v>71</v>
      </c>
      <c r="I832" s="90" t="s">
        <v>65</v>
      </c>
    </row>
    <row r="833" spans="2:9" ht="15.75" customHeight="1" x14ac:dyDescent="0.2">
      <c r="B833" s="310" t="s">
        <v>437</v>
      </c>
      <c r="C833" s="311" t="s">
        <v>27</v>
      </c>
      <c r="D833" s="312">
        <v>1</v>
      </c>
      <c r="E833" s="50"/>
      <c r="F833" s="50"/>
      <c r="G833" s="50"/>
      <c r="H833" s="56">
        <f>INSUMOS!E58</f>
        <v>100</v>
      </c>
      <c r="I833" s="87">
        <f>H833*D833</f>
        <v>100</v>
      </c>
    </row>
    <row r="834" spans="2:9" ht="15.95" customHeight="1" x14ac:dyDescent="0.2">
      <c r="B834" s="598" t="s">
        <v>69</v>
      </c>
      <c r="C834" s="598"/>
      <c r="D834" s="598"/>
      <c r="E834" s="598"/>
      <c r="F834" s="598"/>
      <c r="G834" s="598"/>
      <c r="H834" s="598"/>
      <c r="I834" s="90">
        <f>SUM(I833:I833)</f>
        <v>100</v>
      </c>
    </row>
    <row r="835" spans="2:9" s="128" customFormat="1" ht="30" customHeight="1" x14ac:dyDescent="0.2">
      <c r="B835" s="597" t="s">
        <v>72</v>
      </c>
      <c r="C835" s="597"/>
      <c r="D835" s="597"/>
      <c r="E835" s="597"/>
      <c r="F835" s="597"/>
      <c r="G835" s="597"/>
      <c r="H835" s="597"/>
      <c r="I835" s="597"/>
    </row>
    <row r="836" spans="2:9" ht="15.95" customHeight="1" x14ac:dyDescent="0.2">
      <c r="B836" s="45" t="s">
        <v>59</v>
      </c>
      <c r="C836" s="71" t="s">
        <v>5</v>
      </c>
      <c r="D836" s="47" t="s">
        <v>6</v>
      </c>
      <c r="E836" s="46"/>
      <c r="F836" s="46"/>
      <c r="G836" s="46"/>
      <c r="H836" s="47" t="s">
        <v>71</v>
      </c>
      <c r="I836" s="90" t="s">
        <v>65</v>
      </c>
    </row>
    <row r="837" spans="2:9" ht="15.95" customHeight="1" x14ac:dyDescent="0.2">
      <c r="B837" s="48"/>
      <c r="C837" s="47"/>
      <c r="D837" s="47"/>
      <c r="E837" s="46"/>
      <c r="F837" s="46"/>
      <c r="G837" s="46"/>
      <c r="H837" s="47"/>
      <c r="I837" s="90">
        <f>D837*H837</f>
        <v>0</v>
      </c>
    </row>
    <row r="838" spans="2:9" ht="15.95" customHeight="1" x14ac:dyDescent="0.2">
      <c r="B838" s="598" t="s">
        <v>69</v>
      </c>
      <c r="C838" s="598"/>
      <c r="D838" s="598"/>
      <c r="E838" s="598"/>
      <c r="F838" s="598"/>
      <c r="G838" s="598"/>
      <c r="H838" s="598"/>
      <c r="I838" s="90">
        <f>SUM(I837:I837)</f>
        <v>0</v>
      </c>
    </row>
    <row r="839" spans="2:9" s="128" customFormat="1" ht="30" customHeight="1" x14ac:dyDescent="0.2">
      <c r="B839" s="597" t="s">
        <v>74</v>
      </c>
      <c r="C839" s="597"/>
      <c r="D839" s="597"/>
      <c r="E839" s="597"/>
      <c r="F839" s="597"/>
      <c r="G839" s="597"/>
      <c r="H839" s="597"/>
      <c r="I839" s="597"/>
    </row>
    <row r="840" spans="2:9" ht="15.95" customHeight="1" x14ac:dyDescent="0.2">
      <c r="B840" s="181" t="s">
        <v>59</v>
      </c>
      <c r="C840" s="182" t="s">
        <v>5</v>
      </c>
      <c r="D840" s="145" t="s">
        <v>6</v>
      </c>
      <c r="E840" s="46"/>
      <c r="F840" s="46"/>
      <c r="G840" s="46"/>
      <c r="H840" s="47" t="s">
        <v>71</v>
      </c>
      <c r="I840" s="90" t="s">
        <v>65</v>
      </c>
    </row>
    <row r="841" spans="2:9" ht="15.95" customHeight="1" x14ac:dyDescent="0.2">
      <c r="B841" s="53" t="s">
        <v>152</v>
      </c>
      <c r="C841" s="71" t="s">
        <v>67</v>
      </c>
      <c r="D841" s="47">
        <v>0.5</v>
      </c>
      <c r="E841" s="46"/>
      <c r="F841" s="46"/>
      <c r="G841" s="46"/>
      <c r="H841" s="56">
        <f>INSUMOS!E19</f>
        <v>4.55</v>
      </c>
      <c r="I841" s="90">
        <f>H841*D841</f>
        <v>2.2799999999999998</v>
      </c>
    </row>
    <row r="842" spans="2:9" ht="15.95" customHeight="1" x14ac:dyDescent="0.2">
      <c r="B842" s="91" t="s">
        <v>75</v>
      </c>
      <c r="C842" s="71" t="s">
        <v>67</v>
      </c>
      <c r="D842" s="47">
        <v>0.5</v>
      </c>
      <c r="E842" s="46"/>
      <c r="F842" s="46"/>
      <c r="G842" s="46"/>
      <c r="H842" s="56">
        <f>INSUMOS!E14</f>
        <v>3.42</v>
      </c>
      <c r="I842" s="90">
        <f>H842*D842</f>
        <v>1.71</v>
      </c>
    </row>
    <row r="843" spans="2:9" ht="15.95" customHeight="1" x14ac:dyDescent="0.2">
      <c r="B843" s="599" t="s">
        <v>641</v>
      </c>
      <c r="C843" s="599"/>
      <c r="D843" s="599"/>
      <c r="E843" s="599"/>
      <c r="F843" s="599"/>
      <c r="G843" s="599"/>
      <c r="H843" s="599"/>
      <c r="I843" s="90">
        <f>SUM(I841:I842)*0.9103</f>
        <v>3.63</v>
      </c>
    </row>
    <row r="844" spans="2:9" ht="15.95" customHeight="1" x14ac:dyDescent="0.2">
      <c r="B844" s="598" t="s">
        <v>69</v>
      </c>
      <c r="C844" s="598"/>
      <c r="D844" s="598"/>
      <c r="E844" s="598"/>
      <c r="F844" s="598"/>
      <c r="G844" s="598"/>
      <c r="H844" s="598"/>
      <c r="I844" s="95">
        <f>SUM(I841:I843)</f>
        <v>7.62</v>
      </c>
    </row>
    <row r="845" spans="2:9" ht="15.95" customHeight="1" x14ac:dyDescent="0.2">
      <c r="B845" s="148" t="s">
        <v>76</v>
      </c>
      <c r="C845" s="149">
        <v>1</v>
      </c>
      <c r="D845" s="671" t="s">
        <v>77</v>
      </c>
      <c r="E845" s="672"/>
      <c r="F845" s="672"/>
      <c r="G845" s="672"/>
      <c r="H845" s="673"/>
      <c r="I845" s="95">
        <f>I830+I834+I838+I844</f>
        <v>107.62</v>
      </c>
    </row>
    <row r="846" spans="2:9" ht="15.95" customHeight="1" x14ac:dyDescent="0.2">
      <c r="B846" s="593"/>
      <c r="C846" s="594"/>
      <c r="D846" s="594"/>
      <c r="E846" s="594"/>
      <c r="F846" s="594"/>
      <c r="G846" s="594"/>
      <c r="H846" s="595"/>
      <c r="I846" s="95">
        <f>I845/C845</f>
        <v>107.62</v>
      </c>
    </row>
    <row r="847" spans="2:9" ht="15.95" customHeight="1" x14ac:dyDescent="0.2">
      <c r="B847" s="140" t="s">
        <v>346</v>
      </c>
      <c r="C847" s="146">
        <v>25</v>
      </c>
      <c r="D847" s="147" t="s">
        <v>272</v>
      </c>
      <c r="E847" s="137"/>
      <c r="F847" s="137"/>
      <c r="G847" s="137"/>
      <c r="H847" s="138"/>
      <c r="I847" s="90">
        <f>C847/100*I846</f>
        <v>26.91</v>
      </c>
    </row>
    <row r="848" spans="2:9" s="128" customFormat="1" ht="30" customHeight="1" thickBot="1" x14ac:dyDescent="0.25">
      <c r="B848" s="596" t="s">
        <v>78</v>
      </c>
      <c r="C848" s="596"/>
      <c r="D848" s="596"/>
      <c r="E848" s="596"/>
      <c r="F848" s="596"/>
      <c r="G848" s="596"/>
      <c r="H848" s="596"/>
      <c r="I848" s="136">
        <f>SUM(I846:I847)</f>
        <v>134.53</v>
      </c>
    </row>
    <row r="853" spans="1:9" ht="13.5" thickBot="1" x14ac:dyDescent="0.25"/>
    <row r="854" spans="1:9" s="128" customFormat="1" ht="30" customHeight="1" x14ac:dyDescent="0.2">
      <c r="B854" s="202" t="s">
        <v>55</v>
      </c>
      <c r="C854" s="488" t="str">
        <f>PERFURAÇÃO!B50</f>
        <v>3.12</v>
      </c>
      <c r="D854" s="665" t="s">
        <v>56</v>
      </c>
      <c r="E854" s="665"/>
      <c r="F854" s="665"/>
      <c r="G854" s="665"/>
      <c r="H854" s="665"/>
      <c r="I854" s="665"/>
    </row>
    <row r="855" spans="1:9" s="128" customFormat="1" ht="30" customHeight="1" x14ac:dyDescent="0.2">
      <c r="B855" s="666" t="s">
        <v>344</v>
      </c>
      <c r="C855" s="667"/>
      <c r="D855" s="667"/>
      <c r="E855" s="667"/>
      <c r="F855" s="667"/>
      <c r="G855" s="668"/>
      <c r="H855" s="669" t="s">
        <v>568</v>
      </c>
      <c r="I855" s="670"/>
    </row>
    <row r="856" spans="1:9" s="128" customFormat="1" ht="30" customHeight="1" x14ac:dyDescent="0.2">
      <c r="B856" s="664" t="s">
        <v>439</v>
      </c>
      <c r="C856" s="664"/>
      <c r="D856" s="664"/>
      <c r="E856" s="664"/>
      <c r="F856" s="664"/>
      <c r="G856" s="664"/>
      <c r="H856" s="34" t="s">
        <v>57</v>
      </c>
      <c r="I856" s="127" t="s">
        <v>32</v>
      </c>
    </row>
    <row r="857" spans="1:9" s="128" customFormat="1" ht="30" customHeight="1" x14ac:dyDescent="0.2">
      <c r="B857" s="597" t="s">
        <v>58</v>
      </c>
      <c r="C857" s="597"/>
      <c r="D857" s="597"/>
      <c r="E857" s="597"/>
      <c r="F857" s="597"/>
      <c r="G857" s="597"/>
      <c r="H857" s="597"/>
      <c r="I857" s="597"/>
    </row>
    <row r="858" spans="1:9" ht="25.5" x14ac:dyDescent="0.2">
      <c r="A858" s="93"/>
      <c r="B858" s="35" t="s">
        <v>59</v>
      </c>
      <c r="C858" s="173" t="s">
        <v>5</v>
      </c>
      <c r="D858" s="36" t="s">
        <v>6</v>
      </c>
      <c r="E858" s="36" t="s">
        <v>61</v>
      </c>
      <c r="F858" s="36" t="s">
        <v>62</v>
      </c>
      <c r="G858" s="36" t="s">
        <v>63</v>
      </c>
      <c r="H858" s="36" t="s">
        <v>64</v>
      </c>
      <c r="I858" s="37" t="s">
        <v>65</v>
      </c>
    </row>
    <row r="859" spans="1:9" ht="15.95" customHeight="1" x14ac:dyDescent="0.2">
      <c r="B859" s="97"/>
      <c r="C859" s="39"/>
      <c r="D859" s="141"/>
      <c r="E859" s="40"/>
      <c r="F859" s="40"/>
      <c r="G859" s="40"/>
      <c r="H859" s="40"/>
      <c r="I859" s="87">
        <f>D859*E859*G859+D859*F859*H859</f>
        <v>0</v>
      </c>
    </row>
    <row r="860" spans="1:9" ht="15.95" customHeight="1" x14ac:dyDescent="0.2">
      <c r="B860" s="598" t="s">
        <v>69</v>
      </c>
      <c r="C860" s="598"/>
      <c r="D860" s="598"/>
      <c r="E860" s="598"/>
      <c r="F860" s="598"/>
      <c r="G860" s="598"/>
      <c r="H860" s="598"/>
      <c r="I860" s="95">
        <f>SUM(I859:I859)</f>
        <v>0</v>
      </c>
    </row>
    <row r="861" spans="1:9" s="128" customFormat="1" ht="30" customHeight="1" x14ac:dyDescent="0.2">
      <c r="B861" s="597" t="s">
        <v>70</v>
      </c>
      <c r="C861" s="597"/>
      <c r="D861" s="597"/>
      <c r="E861" s="597"/>
      <c r="F861" s="597"/>
      <c r="G861" s="597"/>
      <c r="H861" s="597"/>
      <c r="I861" s="597"/>
    </row>
    <row r="862" spans="1:9" x14ac:dyDescent="0.2">
      <c r="B862" s="181" t="s">
        <v>59</v>
      </c>
      <c r="C862" s="182" t="s">
        <v>5</v>
      </c>
      <c r="D862" s="47" t="s">
        <v>6</v>
      </c>
      <c r="E862" s="46"/>
      <c r="F862" s="46"/>
      <c r="G862" s="46"/>
      <c r="H862" s="47" t="s">
        <v>71</v>
      </c>
      <c r="I862" s="90" t="s">
        <v>65</v>
      </c>
    </row>
    <row r="863" spans="1:9" ht="15.75" customHeight="1" x14ac:dyDescent="0.2">
      <c r="B863" s="310" t="s">
        <v>438</v>
      </c>
      <c r="C863" s="311" t="s">
        <v>32</v>
      </c>
      <c r="D863" s="312">
        <v>1</v>
      </c>
      <c r="E863" s="50"/>
      <c r="F863" s="50"/>
      <c r="G863" s="50"/>
      <c r="H863" s="56">
        <f>INSUMOS!E45</f>
        <v>680</v>
      </c>
      <c r="I863" s="87">
        <f>H863*D863</f>
        <v>680</v>
      </c>
    </row>
    <row r="864" spans="1:9" ht="15.95" customHeight="1" x14ac:dyDescent="0.2">
      <c r="B864" s="598" t="s">
        <v>69</v>
      </c>
      <c r="C864" s="598"/>
      <c r="D864" s="598"/>
      <c r="E864" s="598"/>
      <c r="F864" s="598"/>
      <c r="G864" s="598"/>
      <c r="H864" s="598"/>
      <c r="I864" s="90">
        <f>SUM(I863:I863)</f>
        <v>680</v>
      </c>
    </row>
    <row r="865" spans="2:9" s="128" customFormat="1" ht="30" customHeight="1" x14ac:dyDescent="0.2">
      <c r="B865" s="597" t="s">
        <v>72</v>
      </c>
      <c r="C865" s="597"/>
      <c r="D865" s="597"/>
      <c r="E865" s="597"/>
      <c r="F865" s="597"/>
      <c r="G865" s="597"/>
      <c r="H865" s="597"/>
      <c r="I865" s="597"/>
    </row>
    <row r="866" spans="2:9" ht="15.95" customHeight="1" x14ac:dyDescent="0.2">
      <c r="B866" s="45" t="s">
        <v>59</v>
      </c>
      <c r="C866" s="71" t="s">
        <v>5</v>
      </c>
      <c r="D866" s="47" t="s">
        <v>6</v>
      </c>
      <c r="E866" s="46"/>
      <c r="F866" s="46"/>
      <c r="G866" s="46"/>
      <c r="H866" s="47" t="s">
        <v>71</v>
      </c>
      <c r="I866" s="90" t="s">
        <v>65</v>
      </c>
    </row>
    <row r="867" spans="2:9" ht="15.95" customHeight="1" x14ac:dyDescent="0.2">
      <c r="B867" s="48"/>
      <c r="C867" s="47"/>
      <c r="D867" s="47"/>
      <c r="E867" s="46"/>
      <c r="F867" s="46"/>
      <c r="G867" s="46"/>
      <c r="H867" s="47"/>
      <c r="I867" s="90">
        <f>D867*H867</f>
        <v>0</v>
      </c>
    </row>
    <row r="868" spans="2:9" ht="15.95" customHeight="1" x14ac:dyDescent="0.2">
      <c r="B868" s="598" t="s">
        <v>69</v>
      </c>
      <c r="C868" s="598"/>
      <c r="D868" s="598"/>
      <c r="E868" s="598"/>
      <c r="F868" s="598"/>
      <c r="G868" s="598"/>
      <c r="H868" s="598"/>
      <c r="I868" s="90">
        <f>SUM(I867:I867)</f>
        <v>0</v>
      </c>
    </row>
    <row r="869" spans="2:9" s="128" customFormat="1" ht="30" customHeight="1" x14ac:dyDescent="0.2">
      <c r="B869" s="597" t="s">
        <v>74</v>
      </c>
      <c r="C869" s="597"/>
      <c r="D869" s="597"/>
      <c r="E869" s="597"/>
      <c r="F869" s="597"/>
      <c r="G869" s="597"/>
      <c r="H869" s="597"/>
      <c r="I869" s="597"/>
    </row>
    <row r="870" spans="2:9" ht="15.95" customHeight="1" x14ac:dyDescent="0.2">
      <c r="B870" s="181" t="s">
        <v>59</v>
      </c>
      <c r="C870" s="182" t="s">
        <v>5</v>
      </c>
      <c r="D870" s="145" t="s">
        <v>6</v>
      </c>
      <c r="E870" s="46"/>
      <c r="F870" s="46"/>
      <c r="G870" s="46"/>
      <c r="H870" s="47" t="s">
        <v>71</v>
      </c>
      <c r="I870" s="90" t="s">
        <v>65</v>
      </c>
    </row>
    <row r="871" spans="2:9" ht="15.95" customHeight="1" x14ac:dyDescent="0.2">
      <c r="B871" s="53" t="s">
        <v>100</v>
      </c>
      <c r="C871" s="71" t="s">
        <v>67</v>
      </c>
      <c r="D871" s="47">
        <v>4</v>
      </c>
      <c r="E871" s="46"/>
      <c r="F871" s="46"/>
      <c r="G871" s="46"/>
      <c r="H871" s="56">
        <f>INSUMOS!E17</f>
        <v>8.52</v>
      </c>
      <c r="I871" s="90">
        <f>H871*D871</f>
        <v>34.08</v>
      </c>
    </row>
    <row r="872" spans="2:9" ht="15.95" customHeight="1" x14ac:dyDescent="0.2">
      <c r="B872" s="91" t="s">
        <v>75</v>
      </c>
      <c r="C872" s="71" t="s">
        <v>67</v>
      </c>
      <c r="D872" s="47">
        <v>4</v>
      </c>
      <c r="E872" s="46"/>
      <c r="F872" s="46"/>
      <c r="G872" s="46"/>
      <c r="H872" s="56">
        <f>INSUMOS!E14</f>
        <v>3.42</v>
      </c>
      <c r="I872" s="90">
        <f>H872*D872</f>
        <v>13.68</v>
      </c>
    </row>
    <row r="873" spans="2:9" ht="15.95" customHeight="1" x14ac:dyDescent="0.2">
      <c r="B873" s="599" t="s">
        <v>641</v>
      </c>
      <c r="C873" s="599"/>
      <c r="D873" s="599"/>
      <c r="E873" s="599"/>
      <c r="F873" s="599"/>
      <c r="G873" s="599"/>
      <c r="H873" s="599"/>
      <c r="I873" s="90">
        <f>SUM(I871:I872)*0.9103</f>
        <v>43.48</v>
      </c>
    </row>
    <row r="874" spans="2:9" ht="15.95" customHeight="1" x14ac:dyDescent="0.2">
      <c r="B874" s="598" t="s">
        <v>69</v>
      </c>
      <c r="C874" s="598"/>
      <c r="D874" s="598"/>
      <c r="E874" s="598"/>
      <c r="F874" s="598"/>
      <c r="G874" s="598"/>
      <c r="H874" s="598"/>
      <c r="I874" s="95">
        <f>SUM(I871:I873)</f>
        <v>91.24</v>
      </c>
    </row>
    <row r="875" spans="2:9" ht="15.95" customHeight="1" x14ac:dyDescent="0.2">
      <c r="B875" s="148" t="s">
        <v>76</v>
      </c>
      <c r="C875" s="149">
        <v>1</v>
      </c>
      <c r="D875" s="671" t="s">
        <v>77</v>
      </c>
      <c r="E875" s="672"/>
      <c r="F875" s="672"/>
      <c r="G875" s="672"/>
      <c r="H875" s="673"/>
      <c r="I875" s="95">
        <f>I860+I864+I868+I874</f>
        <v>771.24</v>
      </c>
    </row>
    <row r="876" spans="2:9" ht="15.95" customHeight="1" x14ac:dyDescent="0.2">
      <c r="B876" s="593"/>
      <c r="C876" s="594"/>
      <c r="D876" s="594"/>
      <c r="E876" s="594"/>
      <c r="F876" s="594"/>
      <c r="G876" s="594"/>
      <c r="H876" s="595"/>
      <c r="I876" s="95">
        <f>I875/C875</f>
        <v>771.24</v>
      </c>
    </row>
    <row r="877" spans="2:9" ht="15.95" customHeight="1" x14ac:dyDescent="0.2">
      <c r="B877" s="140" t="s">
        <v>346</v>
      </c>
      <c r="C877" s="146">
        <v>25</v>
      </c>
      <c r="D877" s="147" t="s">
        <v>272</v>
      </c>
      <c r="E877" s="137"/>
      <c r="F877" s="137"/>
      <c r="G877" s="137"/>
      <c r="H877" s="138"/>
      <c r="I877" s="90">
        <f>C877/100*I876</f>
        <v>192.81</v>
      </c>
    </row>
    <row r="878" spans="2:9" s="128" customFormat="1" ht="30" customHeight="1" thickBot="1" x14ac:dyDescent="0.25">
      <c r="B878" s="596" t="s">
        <v>78</v>
      </c>
      <c r="C878" s="596"/>
      <c r="D878" s="596"/>
      <c r="E878" s="596"/>
      <c r="F878" s="596"/>
      <c r="G878" s="596"/>
      <c r="H878" s="596"/>
      <c r="I878" s="136">
        <f>SUM(I876:I877)</f>
        <v>964.05</v>
      </c>
    </row>
    <row r="884" spans="1:9" ht="13.5" thickBot="1" x14ac:dyDescent="0.25"/>
    <row r="885" spans="1:9" s="128" customFormat="1" ht="30" customHeight="1" x14ac:dyDescent="0.2">
      <c r="B885" s="202" t="s">
        <v>55</v>
      </c>
      <c r="C885" s="488" t="str">
        <f>PERFURAÇÃO!B53</f>
        <v>3.15</v>
      </c>
      <c r="D885" s="665" t="s">
        <v>56</v>
      </c>
      <c r="E885" s="665"/>
      <c r="F885" s="665"/>
      <c r="G885" s="665"/>
      <c r="H885" s="665"/>
      <c r="I885" s="665"/>
    </row>
    <row r="886" spans="1:9" s="128" customFormat="1" ht="30" customHeight="1" x14ac:dyDescent="0.2">
      <c r="B886" s="666" t="s">
        <v>344</v>
      </c>
      <c r="C886" s="667"/>
      <c r="D886" s="667"/>
      <c r="E886" s="667"/>
      <c r="F886" s="667"/>
      <c r="G886" s="668"/>
      <c r="H886" s="669" t="s">
        <v>568</v>
      </c>
      <c r="I886" s="670"/>
    </row>
    <row r="887" spans="1:9" s="128" customFormat="1" ht="30" customHeight="1" x14ac:dyDescent="0.2">
      <c r="B887" s="685" t="s">
        <v>440</v>
      </c>
      <c r="C887" s="685"/>
      <c r="D887" s="685"/>
      <c r="E887" s="685"/>
      <c r="F887" s="685"/>
      <c r="G887" s="685"/>
      <c r="H887" s="34" t="s">
        <v>57</v>
      </c>
      <c r="I887" s="127" t="s">
        <v>398</v>
      </c>
    </row>
    <row r="888" spans="1:9" s="128" customFormat="1" ht="30" customHeight="1" x14ac:dyDescent="0.2">
      <c r="B888" s="597" t="s">
        <v>58</v>
      </c>
      <c r="C888" s="597"/>
      <c r="D888" s="597"/>
      <c r="E888" s="597"/>
      <c r="F888" s="597"/>
      <c r="G888" s="597"/>
      <c r="H888" s="597"/>
      <c r="I888" s="597"/>
    </row>
    <row r="889" spans="1:9" ht="25.5" x14ac:dyDescent="0.2">
      <c r="A889" s="93"/>
      <c r="B889" s="35" t="s">
        <v>59</v>
      </c>
      <c r="C889" s="173" t="s">
        <v>5</v>
      </c>
      <c r="D889" s="36" t="s">
        <v>6</v>
      </c>
      <c r="E889" s="36" t="s">
        <v>61</v>
      </c>
      <c r="F889" s="36" t="s">
        <v>62</v>
      </c>
      <c r="G889" s="36" t="s">
        <v>63</v>
      </c>
      <c r="H889" s="36" t="s">
        <v>64</v>
      </c>
      <c r="I889" s="37" t="s">
        <v>65</v>
      </c>
    </row>
    <row r="890" spans="1:9" ht="15.95" customHeight="1" x14ac:dyDescent="0.2">
      <c r="B890" s="84" t="s">
        <v>103</v>
      </c>
      <c r="C890" s="85" t="s">
        <v>67</v>
      </c>
      <c r="D890" s="243">
        <v>6</v>
      </c>
      <c r="E890" s="58"/>
      <c r="F890" s="58"/>
      <c r="G890" s="56">
        <f>INSUMOS!E102</f>
        <v>12.39</v>
      </c>
      <c r="I890" s="90">
        <f>G890*D890</f>
        <v>74.34</v>
      </c>
    </row>
    <row r="891" spans="1:9" x14ac:dyDescent="0.2">
      <c r="B891" s="598" t="s">
        <v>69</v>
      </c>
      <c r="C891" s="598"/>
      <c r="D891" s="598"/>
      <c r="E891" s="598"/>
      <c r="F891" s="598"/>
      <c r="G891" s="598"/>
      <c r="H891" s="598"/>
      <c r="I891" s="95">
        <f>SUM(I890:I890)</f>
        <v>74.34</v>
      </c>
    </row>
    <row r="892" spans="1:9" s="128" customFormat="1" ht="30" customHeight="1" x14ac:dyDescent="0.2">
      <c r="B892" s="597" t="s">
        <v>70</v>
      </c>
      <c r="C892" s="597"/>
      <c r="D892" s="597"/>
      <c r="E892" s="597"/>
      <c r="F892" s="597"/>
      <c r="G892" s="597"/>
      <c r="H892" s="597"/>
      <c r="I892" s="597"/>
    </row>
    <row r="893" spans="1:9" ht="15.95" customHeight="1" x14ac:dyDescent="0.2">
      <c r="B893" s="181" t="s">
        <v>59</v>
      </c>
      <c r="C893" s="182" t="s">
        <v>5</v>
      </c>
      <c r="D893" s="47" t="s">
        <v>6</v>
      </c>
      <c r="E893" s="46"/>
      <c r="F893" s="46"/>
      <c r="G893" s="46"/>
      <c r="H893" s="47" t="s">
        <v>71</v>
      </c>
      <c r="I893" s="90" t="s">
        <v>65</v>
      </c>
    </row>
    <row r="894" spans="1:9" ht="15.95" customHeight="1" x14ac:dyDescent="0.2">
      <c r="B894" s="97" t="s">
        <v>99</v>
      </c>
      <c r="C894" s="88" t="s">
        <v>95</v>
      </c>
      <c r="D894" s="89">
        <v>12</v>
      </c>
      <c r="E894" s="46"/>
      <c r="F894" s="46"/>
      <c r="G894" s="46"/>
      <c r="H894" s="56">
        <f>INSUMOS!E32</f>
        <v>2.38</v>
      </c>
      <c r="I894" s="90">
        <f>H894*D894</f>
        <v>28.56</v>
      </c>
    </row>
    <row r="895" spans="1:9" ht="15.95" customHeight="1" x14ac:dyDescent="0.2">
      <c r="B895" s="97" t="s">
        <v>110</v>
      </c>
      <c r="C895" s="88" t="s">
        <v>95</v>
      </c>
      <c r="D895" s="89">
        <v>0.34</v>
      </c>
      <c r="E895" s="46"/>
      <c r="F895" s="46"/>
      <c r="G895" s="46"/>
      <c r="H895" s="56">
        <f>INSUMOS!E33</f>
        <v>14.25</v>
      </c>
      <c r="I895" s="90">
        <f>H895*D895</f>
        <v>4.8499999999999996</v>
      </c>
    </row>
    <row r="896" spans="1:9" ht="15.95" customHeight="1" x14ac:dyDescent="0.2">
      <c r="B896" s="598" t="s">
        <v>69</v>
      </c>
      <c r="C896" s="598"/>
      <c r="D896" s="598"/>
      <c r="E896" s="598"/>
      <c r="F896" s="598"/>
      <c r="G896" s="598"/>
      <c r="H896" s="598"/>
      <c r="I896" s="90">
        <f>SUM(I894:I895)</f>
        <v>33.409999999999997</v>
      </c>
    </row>
    <row r="897" spans="2:9" s="128" customFormat="1" ht="30" customHeight="1" x14ac:dyDescent="0.2">
      <c r="B897" s="597" t="s">
        <v>72</v>
      </c>
      <c r="C897" s="597"/>
      <c r="D897" s="597"/>
      <c r="E897" s="597"/>
      <c r="F897" s="597"/>
      <c r="G897" s="597"/>
      <c r="H897" s="597"/>
      <c r="I897" s="597"/>
    </row>
    <row r="898" spans="2:9" ht="15.95" customHeight="1" x14ac:dyDescent="0.2">
      <c r="B898" s="45" t="s">
        <v>59</v>
      </c>
      <c r="C898" s="57" t="s">
        <v>5</v>
      </c>
      <c r="D898" s="47" t="s">
        <v>6</v>
      </c>
      <c r="E898" s="46"/>
      <c r="F898" s="46"/>
      <c r="G898" s="46"/>
      <c r="H898" s="47" t="s">
        <v>71</v>
      </c>
      <c r="I898" s="43" t="s">
        <v>65</v>
      </c>
    </row>
    <row r="899" spans="2:9" ht="15.95" customHeight="1" x14ac:dyDescent="0.2">
      <c r="B899" s="48"/>
      <c r="C899" s="47"/>
      <c r="D899" s="47"/>
      <c r="E899" s="46"/>
      <c r="F899" s="46"/>
      <c r="G899" s="46"/>
      <c r="H899" s="47"/>
      <c r="I899" s="90">
        <f>D899*H899</f>
        <v>0</v>
      </c>
    </row>
    <row r="900" spans="2:9" ht="15.95" customHeight="1" x14ac:dyDescent="0.2">
      <c r="B900" s="598" t="s">
        <v>69</v>
      </c>
      <c r="C900" s="598"/>
      <c r="D900" s="598"/>
      <c r="E900" s="598"/>
      <c r="F900" s="598"/>
      <c r="G900" s="598"/>
      <c r="H900" s="598"/>
      <c r="I900" s="90">
        <f>SUM(I899:I899)</f>
        <v>0</v>
      </c>
    </row>
    <row r="901" spans="2:9" s="128" customFormat="1" ht="30" customHeight="1" x14ac:dyDescent="0.2">
      <c r="B901" s="597" t="s">
        <v>74</v>
      </c>
      <c r="C901" s="597"/>
      <c r="D901" s="597"/>
      <c r="E901" s="597"/>
      <c r="F901" s="597"/>
      <c r="G901" s="597"/>
      <c r="H901" s="597"/>
      <c r="I901" s="597"/>
    </row>
    <row r="902" spans="2:9" ht="15.95" customHeight="1" x14ac:dyDescent="0.2">
      <c r="B902" s="181" t="s">
        <v>59</v>
      </c>
      <c r="C902" s="182" t="s">
        <v>5</v>
      </c>
      <c r="D902" s="145" t="s">
        <v>6</v>
      </c>
      <c r="E902" s="46"/>
      <c r="F902" s="46"/>
      <c r="G902" s="46"/>
      <c r="H902" s="47" t="s">
        <v>71</v>
      </c>
      <c r="I902" s="90" t="s">
        <v>65</v>
      </c>
    </row>
    <row r="903" spans="2:9" ht="15.95" customHeight="1" x14ac:dyDescent="0.2">
      <c r="B903" s="99" t="s">
        <v>111</v>
      </c>
      <c r="C903" s="83" t="s">
        <v>67</v>
      </c>
      <c r="D903" s="49">
        <v>1</v>
      </c>
      <c r="E903" s="59"/>
      <c r="F903" s="59"/>
      <c r="G903" s="59"/>
      <c r="H903" s="56">
        <f>INSUMOS!E23</f>
        <v>7.66</v>
      </c>
      <c r="I903" s="87">
        <f>H903*D903</f>
        <v>7.66</v>
      </c>
    </row>
    <row r="904" spans="2:9" ht="15.95" customHeight="1" x14ac:dyDescent="0.2">
      <c r="B904" s="91" t="s">
        <v>75</v>
      </c>
      <c r="C904" s="71" t="s">
        <v>67</v>
      </c>
      <c r="D904" s="47">
        <v>3</v>
      </c>
      <c r="E904" s="42"/>
      <c r="F904" s="42"/>
      <c r="G904" s="42"/>
      <c r="H904" s="56">
        <f>INSUMOS!E14</f>
        <v>3.42</v>
      </c>
      <c r="I904" s="90">
        <f>H904*D904</f>
        <v>10.26</v>
      </c>
    </row>
    <row r="905" spans="2:9" ht="15.95" customHeight="1" x14ac:dyDescent="0.2">
      <c r="B905" s="599" t="s">
        <v>641</v>
      </c>
      <c r="C905" s="599"/>
      <c r="D905" s="599"/>
      <c r="E905" s="599"/>
      <c r="F905" s="599"/>
      <c r="G905" s="599"/>
      <c r="H905" s="599"/>
      <c r="I905" s="90">
        <f>SUM(I903:I904)*0.9103</f>
        <v>16.309999999999999</v>
      </c>
    </row>
    <row r="906" spans="2:9" ht="15.95" customHeight="1" x14ac:dyDescent="0.2">
      <c r="B906" s="598" t="s">
        <v>69</v>
      </c>
      <c r="C906" s="598"/>
      <c r="D906" s="598"/>
      <c r="E906" s="598"/>
      <c r="F906" s="598"/>
      <c r="G906" s="598"/>
      <c r="H906" s="598"/>
      <c r="I906" s="95">
        <f>SUM(I903:I905)</f>
        <v>34.229999999999997</v>
      </c>
    </row>
    <row r="907" spans="2:9" ht="15.95" customHeight="1" x14ac:dyDescent="0.2">
      <c r="B907" s="148" t="s">
        <v>76</v>
      </c>
      <c r="C907" s="149">
        <v>1</v>
      </c>
      <c r="D907" s="671" t="s">
        <v>77</v>
      </c>
      <c r="E907" s="672"/>
      <c r="F907" s="672"/>
      <c r="G907" s="672"/>
      <c r="H907" s="673"/>
      <c r="I907" s="95">
        <f>I891+I896+I900+I906</f>
        <v>141.97999999999999</v>
      </c>
    </row>
    <row r="908" spans="2:9" ht="15.95" customHeight="1" x14ac:dyDescent="0.2">
      <c r="B908" s="593"/>
      <c r="C908" s="594"/>
      <c r="D908" s="594"/>
      <c r="E908" s="594"/>
      <c r="F908" s="594"/>
      <c r="G908" s="594"/>
      <c r="H908" s="595"/>
      <c r="I908" s="95">
        <f>I907/C907</f>
        <v>141.97999999999999</v>
      </c>
    </row>
    <row r="909" spans="2:9" ht="15.95" customHeight="1" x14ac:dyDescent="0.2">
      <c r="B909" s="140" t="s">
        <v>346</v>
      </c>
      <c r="C909" s="146">
        <v>25</v>
      </c>
      <c r="D909" s="147" t="s">
        <v>272</v>
      </c>
      <c r="E909" s="137"/>
      <c r="F909" s="137"/>
      <c r="G909" s="137"/>
      <c r="H909" s="138"/>
      <c r="I909" s="90">
        <f>C909/100*I908</f>
        <v>35.5</v>
      </c>
    </row>
    <row r="910" spans="2:9" s="128" customFormat="1" ht="30" customHeight="1" thickBot="1" x14ac:dyDescent="0.25">
      <c r="B910" s="596" t="s">
        <v>78</v>
      </c>
      <c r="C910" s="596"/>
      <c r="D910" s="596"/>
      <c r="E910" s="596"/>
      <c r="F910" s="596"/>
      <c r="G910" s="596"/>
      <c r="H910" s="596"/>
      <c r="I910" s="136">
        <f>SUM(I908:I909)</f>
        <v>177.48</v>
      </c>
    </row>
    <row r="915" spans="1:9" ht="13.5" thickBot="1" x14ac:dyDescent="0.25"/>
    <row r="916" spans="1:9" s="128" customFormat="1" ht="30" customHeight="1" x14ac:dyDescent="0.2">
      <c r="B916" s="202" t="s">
        <v>55</v>
      </c>
      <c r="C916" s="488" t="str">
        <f>PERFURAÇÃO!B54</f>
        <v>3.16</v>
      </c>
      <c r="D916" s="665" t="s">
        <v>56</v>
      </c>
      <c r="E916" s="665"/>
      <c r="F916" s="665"/>
      <c r="G916" s="665"/>
      <c r="H916" s="665"/>
      <c r="I916" s="665"/>
    </row>
    <row r="917" spans="1:9" s="128" customFormat="1" ht="30" customHeight="1" x14ac:dyDescent="0.2">
      <c r="B917" s="666" t="s">
        <v>344</v>
      </c>
      <c r="C917" s="667"/>
      <c r="D917" s="667"/>
      <c r="E917" s="667"/>
      <c r="F917" s="667"/>
      <c r="G917" s="668"/>
      <c r="H917" s="669" t="s">
        <v>568</v>
      </c>
      <c r="I917" s="670"/>
    </row>
    <row r="918" spans="1:9" s="128" customFormat="1" ht="30" customHeight="1" x14ac:dyDescent="0.2">
      <c r="B918" s="685" t="s">
        <v>442</v>
      </c>
      <c r="C918" s="685"/>
      <c r="D918" s="685"/>
      <c r="E918" s="685"/>
      <c r="F918" s="685"/>
      <c r="G918" s="685"/>
      <c r="H918" s="34" t="s">
        <v>57</v>
      </c>
      <c r="I918" s="127" t="s">
        <v>398</v>
      </c>
    </row>
    <row r="919" spans="1:9" s="128" customFormat="1" ht="30" customHeight="1" x14ac:dyDescent="0.2">
      <c r="B919" s="597" t="s">
        <v>58</v>
      </c>
      <c r="C919" s="597"/>
      <c r="D919" s="597"/>
      <c r="E919" s="597"/>
      <c r="F919" s="597"/>
      <c r="G919" s="597"/>
      <c r="H919" s="597"/>
      <c r="I919" s="597"/>
    </row>
    <row r="920" spans="1:9" ht="25.5" x14ac:dyDescent="0.2">
      <c r="A920" s="93"/>
      <c r="B920" s="35" t="s">
        <v>59</v>
      </c>
      <c r="C920" s="173" t="s">
        <v>5</v>
      </c>
      <c r="D920" s="36" t="s">
        <v>6</v>
      </c>
      <c r="E920" s="36" t="s">
        <v>61</v>
      </c>
      <c r="F920" s="36" t="s">
        <v>62</v>
      </c>
      <c r="G920" s="36" t="s">
        <v>63</v>
      </c>
      <c r="H920" s="36" t="s">
        <v>64</v>
      </c>
      <c r="I920" s="37" t="s">
        <v>65</v>
      </c>
    </row>
    <row r="921" spans="1:9" ht="15.95" customHeight="1" x14ac:dyDescent="0.2">
      <c r="B921" s="84" t="s">
        <v>499</v>
      </c>
      <c r="C921" s="85" t="s">
        <v>67</v>
      </c>
      <c r="D921" s="243">
        <v>1.8</v>
      </c>
      <c r="E921" s="58"/>
      <c r="F921" s="58"/>
      <c r="G921" s="56">
        <f>INSUMOS!E53</f>
        <v>150</v>
      </c>
      <c r="I921" s="90">
        <f>G921*D921</f>
        <v>270</v>
      </c>
    </row>
    <row r="922" spans="1:9" x14ac:dyDescent="0.2">
      <c r="B922" s="598" t="s">
        <v>69</v>
      </c>
      <c r="C922" s="598"/>
      <c r="D922" s="598"/>
      <c r="E922" s="598"/>
      <c r="F922" s="598"/>
      <c r="G922" s="598"/>
      <c r="H922" s="598"/>
      <c r="I922" s="95">
        <f>SUM(I921:I921)</f>
        <v>270</v>
      </c>
    </row>
    <row r="923" spans="1:9" s="128" customFormat="1" ht="30" customHeight="1" x14ac:dyDescent="0.2">
      <c r="B923" s="597" t="s">
        <v>70</v>
      </c>
      <c r="C923" s="597"/>
      <c r="D923" s="597"/>
      <c r="E923" s="597"/>
      <c r="F923" s="597"/>
      <c r="G923" s="597"/>
      <c r="H923" s="597"/>
      <c r="I923" s="597"/>
    </row>
    <row r="924" spans="1:9" ht="15.95" customHeight="1" x14ac:dyDescent="0.2">
      <c r="B924" s="181" t="s">
        <v>59</v>
      </c>
      <c r="C924" s="182" t="s">
        <v>5</v>
      </c>
      <c r="D924" s="47" t="s">
        <v>6</v>
      </c>
      <c r="E924" s="46"/>
      <c r="F924" s="46"/>
      <c r="G924" s="46"/>
      <c r="H924" s="47" t="s">
        <v>71</v>
      </c>
      <c r="I924" s="90" t="s">
        <v>65</v>
      </c>
    </row>
    <row r="925" spans="1:9" ht="15.95" customHeight="1" x14ac:dyDescent="0.2">
      <c r="B925" s="97"/>
      <c r="C925" s="88"/>
      <c r="D925" s="89"/>
      <c r="E925" s="46"/>
      <c r="F925" s="46"/>
      <c r="G925" s="46"/>
      <c r="H925" s="49"/>
      <c r="I925" s="90">
        <f>H925*D925</f>
        <v>0</v>
      </c>
    </row>
    <row r="926" spans="1:9" ht="15.95" customHeight="1" x14ac:dyDescent="0.2">
      <c r="B926" s="598" t="s">
        <v>69</v>
      </c>
      <c r="C926" s="598"/>
      <c r="D926" s="598"/>
      <c r="E926" s="598"/>
      <c r="F926" s="598"/>
      <c r="G926" s="598"/>
      <c r="H926" s="598"/>
      <c r="I926" s="90">
        <f>SUM(I925:I925)</f>
        <v>0</v>
      </c>
    </row>
    <row r="927" spans="1:9" s="128" customFormat="1" ht="30" customHeight="1" x14ac:dyDescent="0.2">
      <c r="B927" s="597" t="s">
        <v>72</v>
      </c>
      <c r="C927" s="597"/>
      <c r="D927" s="597"/>
      <c r="E927" s="597"/>
      <c r="F927" s="597"/>
      <c r="G927" s="597"/>
      <c r="H927" s="597"/>
      <c r="I927" s="597"/>
    </row>
    <row r="928" spans="1:9" ht="15.95" customHeight="1" x14ac:dyDescent="0.2">
      <c r="B928" s="45" t="s">
        <v>59</v>
      </c>
      <c r="C928" s="71" t="s">
        <v>5</v>
      </c>
      <c r="D928" s="47" t="s">
        <v>6</v>
      </c>
      <c r="E928" s="46"/>
      <c r="F928" s="46"/>
      <c r="G928" s="46"/>
      <c r="H928" s="47" t="s">
        <v>71</v>
      </c>
      <c r="I928" s="90" t="s">
        <v>65</v>
      </c>
    </row>
    <row r="929" spans="2:9" ht="15.95" customHeight="1" x14ac:dyDescent="0.2">
      <c r="B929" s="48"/>
      <c r="C929" s="47"/>
      <c r="D929" s="47"/>
      <c r="E929" s="46"/>
      <c r="F929" s="46"/>
      <c r="G929" s="46"/>
      <c r="H929" s="47"/>
      <c r="I929" s="90">
        <f>D929*H929</f>
        <v>0</v>
      </c>
    </row>
    <row r="930" spans="2:9" ht="15.95" customHeight="1" x14ac:dyDescent="0.2">
      <c r="B930" s="598" t="s">
        <v>69</v>
      </c>
      <c r="C930" s="598"/>
      <c r="D930" s="598"/>
      <c r="E930" s="598"/>
      <c r="F930" s="598"/>
      <c r="G930" s="598"/>
      <c r="H930" s="598"/>
      <c r="I930" s="90">
        <f>SUM(I929:I929)</f>
        <v>0</v>
      </c>
    </row>
    <row r="931" spans="2:9" s="128" customFormat="1" ht="30" customHeight="1" x14ac:dyDescent="0.2">
      <c r="B931" s="597" t="s">
        <v>74</v>
      </c>
      <c r="C931" s="597"/>
      <c r="D931" s="597"/>
      <c r="E931" s="597"/>
      <c r="F931" s="597"/>
      <c r="G931" s="597"/>
      <c r="H931" s="597"/>
      <c r="I931" s="597"/>
    </row>
    <row r="932" spans="2:9" ht="15.95" customHeight="1" x14ac:dyDescent="0.2">
      <c r="B932" s="181" t="s">
        <v>59</v>
      </c>
      <c r="C932" s="182" t="s">
        <v>5</v>
      </c>
      <c r="D932" s="145" t="s">
        <v>6</v>
      </c>
      <c r="E932" s="46"/>
      <c r="F932" s="46"/>
      <c r="G932" s="46"/>
      <c r="H932" s="47" t="s">
        <v>71</v>
      </c>
      <c r="I932" s="90" t="s">
        <v>65</v>
      </c>
    </row>
    <row r="933" spans="2:9" ht="15.95" customHeight="1" x14ac:dyDescent="0.2">
      <c r="B933" s="99" t="s">
        <v>96</v>
      </c>
      <c r="C933" s="83" t="s">
        <v>67</v>
      </c>
      <c r="D933" s="49">
        <v>2</v>
      </c>
      <c r="E933" s="59"/>
      <c r="F933" s="59"/>
      <c r="G933" s="59"/>
      <c r="H933" s="56">
        <f>INSUMOS!E11</f>
        <v>48.17</v>
      </c>
      <c r="I933" s="87">
        <f>H933*D933</f>
        <v>96.34</v>
      </c>
    </row>
    <row r="934" spans="2:9" ht="15.95" customHeight="1" x14ac:dyDescent="0.2">
      <c r="B934" s="599" t="s">
        <v>641</v>
      </c>
      <c r="C934" s="599"/>
      <c r="D934" s="599"/>
      <c r="E934" s="599"/>
      <c r="F934" s="599"/>
      <c r="G934" s="599"/>
      <c r="H934" s="599"/>
      <c r="I934" s="90">
        <f>SUM(I933:I933)*0.9103</f>
        <v>87.7</v>
      </c>
    </row>
    <row r="935" spans="2:9" ht="15.95" customHeight="1" x14ac:dyDescent="0.2">
      <c r="B935" s="598" t="s">
        <v>69</v>
      </c>
      <c r="C935" s="598"/>
      <c r="D935" s="598"/>
      <c r="E935" s="598"/>
      <c r="F935" s="598"/>
      <c r="G935" s="598"/>
      <c r="H935" s="598"/>
      <c r="I935" s="95">
        <f>SUM(I933:I934)</f>
        <v>184.04</v>
      </c>
    </row>
    <row r="936" spans="2:9" ht="15.95" customHeight="1" x14ac:dyDescent="0.2">
      <c r="B936" s="148" t="s">
        <v>76</v>
      </c>
      <c r="C936" s="149">
        <v>1</v>
      </c>
      <c r="D936" s="671" t="s">
        <v>77</v>
      </c>
      <c r="E936" s="672"/>
      <c r="F936" s="672"/>
      <c r="G936" s="672"/>
      <c r="H936" s="673"/>
      <c r="I936" s="95">
        <f>I922+I926+I930+I935</f>
        <v>454.04</v>
      </c>
    </row>
    <row r="937" spans="2:9" ht="15.95" customHeight="1" x14ac:dyDescent="0.2">
      <c r="B937" s="593"/>
      <c r="C937" s="594"/>
      <c r="D937" s="594"/>
      <c r="E937" s="594"/>
      <c r="F937" s="594"/>
      <c r="G937" s="594"/>
      <c r="H937" s="595"/>
      <c r="I937" s="95">
        <f>I936/C936</f>
        <v>454.04</v>
      </c>
    </row>
    <row r="938" spans="2:9" ht="15.95" customHeight="1" x14ac:dyDescent="0.2">
      <c r="B938" s="140" t="s">
        <v>346</v>
      </c>
      <c r="C938" s="146">
        <v>25</v>
      </c>
      <c r="D938" s="147" t="s">
        <v>272</v>
      </c>
      <c r="E938" s="137"/>
      <c r="F938" s="137"/>
      <c r="G938" s="137"/>
      <c r="H938" s="138"/>
      <c r="I938" s="90">
        <f>C938/100*I937</f>
        <v>113.51</v>
      </c>
    </row>
    <row r="939" spans="2:9" s="128" customFormat="1" ht="30" customHeight="1" thickBot="1" x14ac:dyDescent="0.25">
      <c r="B939" s="596" t="s">
        <v>78</v>
      </c>
      <c r="C939" s="596"/>
      <c r="D939" s="596"/>
      <c r="E939" s="596"/>
      <c r="F939" s="596"/>
      <c r="G939" s="596"/>
      <c r="H939" s="596"/>
      <c r="I939" s="136">
        <f>SUM(I937:I938)</f>
        <v>567.54999999999995</v>
      </c>
    </row>
    <row r="940" spans="2:9" x14ac:dyDescent="0.2">
      <c r="B940" s="98"/>
      <c r="C940" s="420"/>
      <c r="D940" s="420"/>
      <c r="E940" s="98"/>
      <c r="F940" s="98"/>
      <c r="G940" s="98"/>
      <c r="H940" s="98"/>
      <c r="I940" s="420"/>
    </row>
    <row r="941" spans="2:9" x14ac:dyDescent="0.2">
      <c r="B941" s="98"/>
      <c r="C941" s="420"/>
      <c r="D941" s="420"/>
      <c r="E941" s="98"/>
      <c r="F941" s="98"/>
      <c r="G941" s="98"/>
      <c r="H941" s="98"/>
      <c r="I941" s="420"/>
    </row>
    <row r="942" spans="2:9" x14ac:dyDescent="0.2">
      <c r="B942" s="98"/>
      <c r="C942" s="420"/>
      <c r="D942" s="420"/>
      <c r="E942" s="98"/>
      <c r="F942" s="98"/>
      <c r="G942" s="98"/>
      <c r="H942" s="98"/>
      <c r="I942" s="420"/>
    </row>
    <row r="943" spans="2:9" x14ac:dyDescent="0.2">
      <c r="B943" s="98"/>
      <c r="C943" s="420"/>
      <c r="D943" s="420"/>
      <c r="E943" s="98"/>
      <c r="F943" s="98"/>
      <c r="G943" s="98"/>
      <c r="H943" s="98"/>
      <c r="I943" s="420"/>
    </row>
    <row r="944" spans="2:9" x14ac:dyDescent="0.2">
      <c r="B944" s="98"/>
      <c r="C944" s="420"/>
      <c r="D944" s="420"/>
      <c r="E944" s="98"/>
      <c r="F944" s="98"/>
      <c r="G944" s="98"/>
      <c r="H944" s="98"/>
      <c r="I944" s="420"/>
    </row>
    <row r="945" spans="1:11" ht="13.5" thickBot="1" x14ac:dyDescent="0.25"/>
    <row r="946" spans="1:11" ht="30" customHeight="1" x14ac:dyDescent="0.2">
      <c r="B946" s="202" t="s">
        <v>55</v>
      </c>
      <c r="C946" s="488" t="str">
        <f>INSTALAÇÃO!B23</f>
        <v>2.1</v>
      </c>
      <c r="D946" s="665" t="s">
        <v>56</v>
      </c>
      <c r="E946" s="665"/>
      <c r="F946" s="665"/>
      <c r="G946" s="665"/>
      <c r="H946" s="665"/>
      <c r="I946" s="665"/>
    </row>
    <row r="947" spans="1:11" s="128" customFormat="1" ht="30" customHeight="1" x14ac:dyDescent="0.2">
      <c r="B947" s="666" t="s">
        <v>344</v>
      </c>
      <c r="C947" s="667"/>
      <c r="D947" s="667"/>
      <c r="E947" s="667"/>
      <c r="F947" s="667"/>
      <c r="G947" s="668"/>
      <c r="H947" s="669" t="s">
        <v>568</v>
      </c>
      <c r="I947" s="670"/>
    </row>
    <row r="948" spans="1:11" ht="30" customHeight="1" x14ac:dyDescent="0.2">
      <c r="B948" s="664" t="s">
        <v>348</v>
      </c>
      <c r="C948" s="664"/>
      <c r="D948" s="664"/>
      <c r="E948" s="664"/>
      <c r="F948" s="664"/>
      <c r="G948" s="664"/>
      <c r="H948" s="34" t="s">
        <v>57</v>
      </c>
      <c r="I948" s="127" t="s">
        <v>27</v>
      </c>
    </row>
    <row r="949" spans="1:11" ht="30" customHeight="1" x14ac:dyDescent="0.2">
      <c r="B949" s="597" t="s">
        <v>58</v>
      </c>
      <c r="C949" s="597"/>
      <c r="D949" s="597"/>
      <c r="E949" s="597"/>
      <c r="F949" s="597"/>
      <c r="G949" s="597"/>
      <c r="H949" s="597"/>
      <c r="I949" s="597"/>
    </row>
    <row r="950" spans="1:11" ht="25.5" x14ac:dyDescent="0.2">
      <c r="A950" s="93"/>
      <c r="B950" s="35" t="s">
        <v>59</v>
      </c>
      <c r="C950" s="173" t="s">
        <v>5</v>
      </c>
      <c r="D950" s="36" t="s">
        <v>6</v>
      </c>
      <c r="E950" s="36" t="s">
        <v>61</v>
      </c>
      <c r="F950" s="36" t="s">
        <v>62</v>
      </c>
      <c r="G950" s="36" t="s">
        <v>63</v>
      </c>
      <c r="H950" s="36" t="s">
        <v>64</v>
      </c>
      <c r="I950" s="37" t="s">
        <v>65</v>
      </c>
    </row>
    <row r="951" spans="1:11" ht="15.95" customHeight="1" x14ac:dyDescent="0.2">
      <c r="B951" s="97"/>
      <c r="C951" s="39"/>
      <c r="D951" s="141"/>
      <c r="E951" s="40"/>
      <c r="F951" s="40"/>
      <c r="G951" s="40"/>
      <c r="H951" s="40"/>
      <c r="I951" s="43">
        <f>H951*D951</f>
        <v>0</v>
      </c>
    </row>
    <row r="952" spans="1:11" ht="15.95" customHeight="1" x14ac:dyDescent="0.2">
      <c r="B952" s="598" t="s">
        <v>69</v>
      </c>
      <c r="C952" s="598"/>
      <c r="D952" s="598"/>
      <c r="E952" s="598"/>
      <c r="F952" s="598"/>
      <c r="G952" s="598"/>
      <c r="H952" s="598"/>
      <c r="I952" s="95">
        <f>SUM(I951:I951)</f>
        <v>0</v>
      </c>
    </row>
    <row r="953" spans="1:11" ht="30" customHeight="1" x14ac:dyDescent="0.2">
      <c r="B953" s="597" t="s">
        <v>70</v>
      </c>
      <c r="C953" s="597"/>
      <c r="D953" s="597"/>
      <c r="E953" s="597"/>
      <c r="F953" s="597"/>
      <c r="G953" s="597"/>
      <c r="H953" s="597"/>
      <c r="I953" s="597"/>
    </row>
    <row r="954" spans="1:11" ht="15.95" customHeight="1" x14ac:dyDescent="0.2">
      <c r="B954" s="96" t="s">
        <v>59</v>
      </c>
      <c r="C954" s="78" t="s">
        <v>5</v>
      </c>
      <c r="D954" s="40" t="s">
        <v>6</v>
      </c>
      <c r="E954" s="42"/>
      <c r="F954" s="42"/>
      <c r="G954" s="42"/>
      <c r="H954" s="40" t="s">
        <v>71</v>
      </c>
      <c r="I954" s="43" t="s">
        <v>65</v>
      </c>
    </row>
    <row r="955" spans="1:11" ht="15.95" customHeight="1" x14ac:dyDescent="0.2">
      <c r="B955" s="84" t="s">
        <v>117</v>
      </c>
      <c r="C955" s="85" t="s">
        <v>88</v>
      </c>
      <c r="D955" s="86">
        <v>0.05</v>
      </c>
      <c r="E955" s="50"/>
      <c r="F955" s="50"/>
      <c r="G955" s="50"/>
      <c r="H955" s="56">
        <f>INSUMOS!E86</f>
        <v>24.59</v>
      </c>
      <c r="I955" s="87">
        <f>H955*D955</f>
        <v>1.23</v>
      </c>
    </row>
    <row r="956" spans="1:11" ht="15.95" customHeight="1" x14ac:dyDescent="0.2">
      <c r="B956" s="84" t="s">
        <v>118</v>
      </c>
      <c r="C956" s="85" t="s">
        <v>27</v>
      </c>
      <c r="D956" s="86">
        <v>1</v>
      </c>
      <c r="E956" s="50"/>
      <c r="F956" s="50"/>
      <c r="G956" s="50"/>
      <c r="H956" s="56">
        <f>INSUMOS!E57</f>
        <v>17.73</v>
      </c>
      <c r="I956" s="87">
        <f>H956*D956</f>
        <v>17.73</v>
      </c>
      <c r="J956" s="101">
        <v>9875</v>
      </c>
      <c r="K956" s="33" t="s">
        <v>119</v>
      </c>
    </row>
    <row r="957" spans="1:11" ht="15.95" customHeight="1" x14ac:dyDescent="0.2">
      <c r="B957" s="38" t="s">
        <v>120</v>
      </c>
      <c r="C957" s="88" t="s">
        <v>27</v>
      </c>
      <c r="D957" s="89">
        <v>1</v>
      </c>
      <c r="E957" s="46"/>
      <c r="F957" s="46"/>
      <c r="G957" s="46"/>
      <c r="H957" s="56">
        <f>INSUMOS!E140</f>
        <v>0.08</v>
      </c>
      <c r="I957" s="90">
        <f>H957*D957</f>
        <v>0.08</v>
      </c>
      <c r="J957" s="102">
        <v>73595</v>
      </c>
    </row>
    <row r="958" spans="1:11" ht="15.95" customHeight="1" x14ac:dyDescent="0.2">
      <c r="B958" s="598" t="s">
        <v>69</v>
      </c>
      <c r="C958" s="598"/>
      <c r="D958" s="598"/>
      <c r="E958" s="598"/>
      <c r="F958" s="598"/>
      <c r="G958" s="598"/>
      <c r="H958" s="598"/>
      <c r="I958" s="90">
        <f>SUM(I955:I957)</f>
        <v>19.04</v>
      </c>
    </row>
    <row r="959" spans="1:11" ht="30" customHeight="1" x14ac:dyDescent="0.2">
      <c r="B959" s="597" t="s">
        <v>72</v>
      </c>
      <c r="C959" s="597"/>
      <c r="D959" s="597"/>
      <c r="E959" s="597"/>
      <c r="F959" s="597"/>
      <c r="G959" s="597"/>
      <c r="H959" s="597"/>
      <c r="I959" s="597"/>
    </row>
    <row r="960" spans="1:11" ht="15.95" customHeight="1" x14ac:dyDescent="0.2">
      <c r="B960" s="45" t="s">
        <v>59</v>
      </c>
      <c r="C960" s="57" t="s">
        <v>5</v>
      </c>
      <c r="D960" s="47" t="s">
        <v>6</v>
      </c>
      <c r="E960" s="46"/>
      <c r="F960" s="46"/>
      <c r="G960" s="46"/>
      <c r="H960" s="47" t="s">
        <v>71</v>
      </c>
      <c r="I960" s="43" t="s">
        <v>65</v>
      </c>
    </row>
    <row r="961" spans="2:9" ht="15.95" customHeight="1" x14ac:dyDescent="0.2">
      <c r="B961" s="84"/>
      <c r="C961" s="47"/>
      <c r="D961" s="47"/>
      <c r="E961" s="46"/>
      <c r="F961" s="46"/>
      <c r="G961" s="46"/>
      <c r="H961" s="47"/>
      <c r="I961" s="90">
        <f>D961*H961</f>
        <v>0</v>
      </c>
    </row>
    <row r="962" spans="2:9" ht="15.95" customHeight="1" x14ac:dyDescent="0.2">
      <c r="B962" s="598" t="s">
        <v>69</v>
      </c>
      <c r="C962" s="598"/>
      <c r="D962" s="598"/>
      <c r="E962" s="598"/>
      <c r="F962" s="598"/>
      <c r="G962" s="598"/>
      <c r="H962" s="598"/>
      <c r="I962" s="90">
        <f>SUM(I961:I961)</f>
        <v>0</v>
      </c>
    </row>
    <row r="963" spans="2:9" ht="30" customHeight="1" x14ac:dyDescent="0.2">
      <c r="B963" s="597" t="s">
        <v>74</v>
      </c>
      <c r="C963" s="597"/>
      <c r="D963" s="597"/>
      <c r="E963" s="597"/>
      <c r="F963" s="597"/>
      <c r="G963" s="597"/>
      <c r="H963" s="597"/>
      <c r="I963" s="597"/>
    </row>
    <row r="964" spans="2:9" ht="15.95" customHeight="1" x14ac:dyDescent="0.2">
      <c r="B964" s="96" t="s">
        <v>59</v>
      </c>
      <c r="C964" s="78" t="s">
        <v>5</v>
      </c>
      <c r="D964" s="110" t="s">
        <v>6</v>
      </c>
      <c r="E964" s="42"/>
      <c r="F964" s="42"/>
      <c r="G964" s="42"/>
      <c r="H964" s="40" t="s">
        <v>71</v>
      </c>
      <c r="I964" s="43" t="s">
        <v>65</v>
      </c>
    </row>
    <row r="965" spans="2:9" ht="15.95" customHeight="1" x14ac:dyDescent="0.2">
      <c r="B965" s="53" t="s">
        <v>75</v>
      </c>
      <c r="C965" s="57" t="s">
        <v>67</v>
      </c>
      <c r="D965" s="40">
        <v>0.06</v>
      </c>
      <c r="E965" s="42"/>
      <c r="F965" s="42"/>
      <c r="G965" s="42"/>
      <c r="H965" s="52">
        <f>INSUMOS!E14</f>
        <v>3.42</v>
      </c>
      <c r="I965" s="43">
        <f>H965*D965</f>
        <v>0.21</v>
      </c>
    </row>
    <row r="966" spans="2:9" ht="15.95" customHeight="1" x14ac:dyDescent="0.2">
      <c r="B966" s="91" t="s">
        <v>121</v>
      </c>
      <c r="C966" s="57" t="s">
        <v>67</v>
      </c>
      <c r="D966" s="40">
        <v>0.03</v>
      </c>
      <c r="E966" s="42"/>
      <c r="F966" s="42"/>
      <c r="G966" s="42"/>
      <c r="H966" s="52">
        <f>INSUMOS!E24</f>
        <v>4.55</v>
      </c>
      <c r="I966" s="43">
        <f>H966*D966</f>
        <v>0.14000000000000001</v>
      </c>
    </row>
    <row r="967" spans="2:9" ht="15.95" customHeight="1" x14ac:dyDescent="0.2">
      <c r="B967" s="599" t="s">
        <v>641</v>
      </c>
      <c r="C967" s="599"/>
      <c r="D967" s="599"/>
      <c r="E967" s="599"/>
      <c r="F967" s="599"/>
      <c r="G967" s="599"/>
      <c r="H967" s="599"/>
      <c r="I967" s="90">
        <f>SUM(I965:I966)*0.9103</f>
        <v>0.32</v>
      </c>
    </row>
    <row r="968" spans="2:9" ht="15.95" customHeight="1" x14ac:dyDescent="0.2">
      <c r="B968" s="598" t="s">
        <v>69</v>
      </c>
      <c r="C968" s="598"/>
      <c r="D968" s="598"/>
      <c r="E968" s="598"/>
      <c r="F968" s="598"/>
      <c r="G968" s="598"/>
      <c r="H968" s="598"/>
      <c r="I968" s="92">
        <f>SUM(I965:I967)</f>
        <v>0.67</v>
      </c>
    </row>
    <row r="969" spans="2:9" ht="15.95" customHeight="1" x14ac:dyDescent="0.2">
      <c r="B969" s="148" t="s">
        <v>76</v>
      </c>
      <c r="C969" s="149">
        <v>1</v>
      </c>
      <c r="D969" s="671" t="s">
        <v>77</v>
      </c>
      <c r="E969" s="672"/>
      <c r="F969" s="672"/>
      <c r="G969" s="672"/>
      <c r="H969" s="673"/>
      <c r="I969" s="92">
        <f>I952+I958+I962+I968</f>
        <v>19.71</v>
      </c>
    </row>
    <row r="970" spans="2:9" ht="15.95" customHeight="1" x14ac:dyDescent="0.2">
      <c r="B970" s="593"/>
      <c r="C970" s="594"/>
      <c r="D970" s="594"/>
      <c r="E970" s="594"/>
      <c r="F970" s="594"/>
      <c r="G970" s="594"/>
      <c r="H970" s="595"/>
      <c r="I970" s="92">
        <f>I969/C969</f>
        <v>19.71</v>
      </c>
    </row>
    <row r="971" spans="2:9" ht="15.95" customHeight="1" x14ac:dyDescent="0.2">
      <c r="B971" s="140" t="s">
        <v>346</v>
      </c>
      <c r="C971" s="146">
        <v>25</v>
      </c>
      <c r="D971" s="147" t="s">
        <v>272</v>
      </c>
      <c r="E971" s="137"/>
      <c r="F971" s="137"/>
      <c r="G971" s="137"/>
      <c r="H971" s="138"/>
      <c r="I971" s="90">
        <f>C971/100*I970</f>
        <v>4.93</v>
      </c>
    </row>
    <row r="972" spans="2:9" ht="30" customHeight="1" thickBot="1" x14ac:dyDescent="0.25">
      <c r="B972" s="596" t="s">
        <v>78</v>
      </c>
      <c r="C972" s="596"/>
      <c r="D972" s="596"/>
      <c r="E972" s="596"/>
      <c r="F972" s="596"/>
      <c r="G972" s="596"/>
      <c r="H972" s="596"/>
      <c r="I972" s="136">
        <f>SUM(I970:I971)</f>
        <v>24.64</v>
      </c>
    </row>
    <row r="978" spans="1:9" ht="13.5" thickBot="1" x14ac:dyDescent="0.25"/>
    <row r="979" spans="1:9" ht="30" customHeight="1" x14ac:dyDescent="0.2">
      <c r="B979" s="418" t="s">
        <v>55</v>
      </c>
      <c r="C979" s="488" t="str">
        <f>INSTALAÇÃO!B24</f>
        <v>2.2</v>
      </c>
      <c r="D979" s="698" t="s">
        <v>56</v>
      </c>
      <c r="E979" s="698"/>
      <c r="F979" s="698"/>
      <c r="G979" s="698"/>
      <c r="H979" s="698"/>
      <c r="I979" s="699"/>
    </row>
    <row r="980" spans="1:9" s="128" customFormat="1" ht="30" customHeight="1" x14ac:dyDescent="0.2">
      <c r="B980" s="702" t="s">
        <v>344</v>
      </c>
      <c r="C980" s="703"/>
      <c r="D980" s="703"/>
      <c r="E980" s="703"/>
      <c r="F980" s="703"/>
      <c r="G980" s="704"/>
      <c r="H980" s="700" t="s">
        <v>568</v>
      </c>
      <c r="I980" s="701"/>
    </row>
    <row r="981" spans="1:9" ht="30" customHeight="1" x14ac:dyDescent="0.2">
      <c r="B981" s="631" t="s">
        <v>350</v>
      </c>
      <c r="C981" s="632"/>
      <c r="D981" s="632"/>
      <c r="E981" s="632"/>
      <c r="F981" s="632"/>
      <c r="G981" s="633"/>
      <c r="H981" s="34" t="s">
        <v>57</v>
      </c>
      <c r="I981" s="127" t="s">
        <v>398</v>
      </c>
    </row>
    <row r="982" spans="1:9" s="128" customFormat="1" ht="30" customHeight="1" x14ac:dyDescent="0.2">
      <c r="B982" s="634" t="s">
        <v>58</v>
      </c>
      <c r="C982" s="597"/>
      <c r="D982" s="597"/>
      <c r="E982" s="597"/>
      <c r="F982" s="597"/>
      <c r="G982" s="597"/>
      <c r="H982" s="597"/>
      <c r="I982" s="635"/>
    </row>
    <row r="983" spans="1:9" ht="25.5" x14ac:dyDescent="0.2">
      <c r="A983" s="93"/>
      <c r="B983" s="214" t="s">
        <v>59</v>
      </c>
      <c r="C983" s="173" t="s">
        <v>5</v>
      </c>
      <c r="D983" s="36" t="s">
        <v>6</v>
      </c>
      <c r="E983" s="36" t="s">
        <v>61</v>
      </c>
      <c r="F983" s="36" t="s">
        <v>62</v>
      </c>
      <c r="G983" s="36" t="s">
        <v>63</v>
      </c>
      <c r="H983" s="36" t="s">
        <v>64</v>
      </c>
      <c r="I983" s="215" t="s">
        <v>65</v>
      </c>
    </row>
    <row r="984" spans="1:9" ht="15.95" customHeight="1" x14ac:dyDescent="0.2">
      <c r="B984" s="216"/>
      <c r="C984" s="39"/>
      <c r="D984" s="141"/>
      <c r="E984" s="40"/>
      <c r="F984" s="40"/>
      <c r="G984" s="40"/>
      <c r="H984" s="40"/>
      <c r="I984" s="217">
        <f>H984*D984</f>
        <v>0</v>
      </c>
    </row>
    <row r="985" spans="1:9" x14ac:dyDescent="0.2">
      <c r="B985" s="650" t="s">
        <v>69</v>
      </c>
      <c r="C985" s="651"/>
      <c r="D985" s="651"/>
      <c r="E985" s="651"/>
      <c r="F985" s="651"/>
      <c r="G985" s="651"/>
      <c r="H985" s="651"/>
      <c r="I985" s="218">
        <f>SUM(I984:I984)</f>
        <v>0</v>
      </c>
    </row>
    <row r="986" spans="1:9" s="128" customFormat="1" ht="30" customHeight="1" x14ac:dyDescent="0.2">
      <c r="B986" s="652" t="s">
        <v>70</v>
      </c>
      <c r="C986" s="653"/>
      <c r="D986" s="653"/>
      <c r="E986" s="653"/>
      <c r="F986" s="653"/>
      <c r="G986" s="653"/>
      <c r="H986" s="653"/>
      <c r="I986" s="654"/>
    </row>
    <row r="987" spans="1:9" ht="15.95" customHeight="1" x14ac:dyDescent="0.2">
      <c r="B987" s="228" t="s">
        <v>59</v>
      </c>
      <c r="C987" s="166" t="s">
        <v>5</v>
      </c>
      <c r="D987" s="146" t="s">
        <v>6</v>
      </c>
      <c r="E987" s="167"/>
      <c r="F987" s="167"/>
      <c r="G987" s="167"/>
      <c r="H987" s="146" t="s">
        <v>71</v>
      </c>
      <c r="I987" s="221" t="s">
        <v>65</v>
      </c>
    </row>
    <row r="988" spans="1:9" ht="15.95" customHeight="1" x14ac:dyDescent="0.2">
      <c r="B988" s="333" t="s">
        <v>132</v>
      </c>
      <c r="C988" s="146" t="s">
        <v>398</v>
      </c>
      <c r="D988" s="146">
        <v>1</v>
      </c>
      <c r="E988" s="167"/>
      <c r="F988" s="167"/>
      <c r="G988" s="167"/>
      <c r="H988" s="168">
        <f>INSUMOS!E127</f>
        <v>57.77</v>
      </c>
      <c r="I988" s="221">
        <f t="shared" ref="I988:I999" si="0">H988*D988</f>
        <v>57.77</v>
      </c>
    </row>
    <row r="989" spans="1:9" ht="15.95" customHeight="1" x14ac:dyDescent="0.2">
      <c r="B989" s="333" t="s">
        <v>133</v>
      </c>
      <c r="C989" s="146" t="s">
        <v>398</v>
      </c>
      <c r="D989" s="146">
        <v>1</v>
      </c>
      <c r="E989" s="167"/>
      <c r="F989" s="167"/>
      <c r="G989" s="167"/>
      <c r="H989" s="168">
        <f>INSUMOS!E128</f>
        <v>60.44</v>
      </c>
      <c r="I989" s="221">
        <f t="shared" si="0"/>
        <v>60.44</v>
      </c>
    </row>
    <row r="990" spans="1:9" ht="15.95" customHeight="1" x14ac:dyDescent="0.2">
      <c r="B990" s="333" t="s">
        <v>674</v>
      </c>
      <c r="C990" s="146" t="s">
        <v>398</v>
      </c>
      <c r="D990" s="146">
        <v>2</v>
      </c>
      <c r="E990" s="167"/>
      <c r="F990" s="167"/>
      <c r="G990" s="167"/>
      <c r="H990" s="168">
        <f>INSUMOS!E129</f>
        <v>8.6999999999999993</v>
      </c>
      <c r="I990" s="221">
        <f t="shared" si="0"/>
        <v>17.399999999999999</v>
      </c>
    </row>
    <row r="991" spans="1:9" ht="15.95" customHeight="1" x14ac:dyDescent="0.2">
      <c r="B991" s="333" t="s">
        <v>452</v>
      </c>
      <c r="C991" s="146" t="s">
        <v>398</v>
      </c>
      <c r="D991" s="146">
        <v>1</v>
      </c>
      <c r="E991" s="167"/>
      <c r="F991" s="167"/>
      <c r="G991" s="167"/>
      <c r="H991" s="168">
        <f>INSUMOS!E131</f>
        <v>16.899999999999999</v>
      </c>
      <c r="I991" s="221">
        <f t="shared" si="0"/>
        <v>16.899999999999999</v>
      </c>
    </row>
    <row r="992" spans="1:9" ht="15.95" customHeight="1" x14ac:dyDescent="0.2">
      <c r="B992" s="334" t="s">
        <v>135</v>
      </c>
      <c r="C992" s="146" t="s">
        <v>398</v>
      </c>
      <c r="D992" s="146">
        <v>8</v>
      </c>
      <c r="E992" s="167"/>
      <c r="F992" s="167"/>
      <c r="G992" s="167"/>
      <c r="H992" s="168">
        <f>INSUMOS!E130</f>
        <v>16.649999999999999</v>
      </c>
      <c r="I992" s="221">
        <f t="shared" si="0"/>
        <v>133.19999999999999</v>
      </c>
    </row>
    <row r="993" spans="2:12" ht="15.95" customHeight="1" x14ac:dyDescent="0.2">
      <c r="B993" s="220" t="s">
        <v>136</v>
      </c>
      <c r="C993" s="146" t="s">
        <v>27</v>
      </c>
      <c r="D993" s="166">
        <v>20</v>
      </c>
      <c r="E993" s="167"/>
      <c r="F993" s="167"/>
      <c r="G993" s="167"/>
      <c r="H993" s="168">
        <f>INSUMOS!E49</f>
        <v>2.09</v>
      </c>
      <c r="I993" s="221">
        <f t="shared" si="0"/>
        <v>41.8</v>
      </c>
    </row>
    <row r="994" spans="2:12" ht="15.95" customHeight="1" x14ac:dyDescent="0.2">
      <c r="B994" s="220" t="s">
        <v>137</v>
      </c>
      <c r="C994" s="146" t="s">
        <v>398</v>
      </c>
      <c r="D994" s="166">
        <v>4</v>
      </c>
      <c r="E994" s="167"/>
      <c r="F994" s="167"/>
      <c r="G994" s="167"/>
      <c r="H994" s="168">
        <f>INSUMOS!E51</f>
        <v>1.8</v>
      </c>
      <c r="I994" s="221">
        <f t="shared" si="0"/>
        <v>7.2</v>
      </c>
    </row>
    <row r="995" spans="2:12" ht="15.95" customHeight="1" x14ac:dyDescent="0.2">
      <c r="B995" s="335" t="s">
        <v>448</v>
      </c>
      <c r="C995" s="146" t="s">
        <v>398</v>
      </c>
      <c r="D995" s="170">
        <v>3</v>
      </c>
      <c r="E995" s="171"/>
      <c r="F995" s="171"/>
      <c r="G995" s="171"/>
      <c r="H995" s="168">
        <f>INSUMOS!E126</f>
        <v>7.47</v>
      </c>
      <c r="I995" s="222">
        <f t="shared" si="0"/>
        <v>22.41</v>
      </c>
    </row>
    <row r="996" spans="2:12" ht="15.95" customHeight="1" x14ac:dyDescent="0.2">
      <c r="B996" s="335" t="s">
        <v>138</v>
      </c>
      <c r="C996" s="169" t="s">
        <v>27</v>
      </c>
      <c r="D996" s="170">
        <v>6</v>
      </c>
      <c r="E996" s="171"/>
      <c r="F996" s="171"/>
      <c r="G996" s="171"/>
      <c r="H996" s="168">
        <f>INSUMOS!E106</f>
        <v>1.84</v>
      </c>
      <c r="I996" s="222">
        <f t="shared" si="0"/>
        <v>11.04</v>
      </c>
    </row>
    <row r="997" spans="2:12" ht="15.95" customHeight="1" x14ac:dyDescent="0.2">
      <c r="B997" s="223" t="s">
        <v>139</v>
      </c>
      <c r="C997" s="146" t="s">
        <v>398</v>
      </c>
      <c r="D997" s="166">
        <v>0.08</v>
      </c>
      <c r="E997" s="167"/>
      <c r="F997" s="167"/>
      <c r="G997" s="167"/>
      <c r="H997" s="168">
        <f>INSUMOS!E52</f>
        <v>1379.34</v>
      </c>
      <c r="I997" s="222">
        <f t="shared" si="0"/>
        <v>110.35</v>
      </c>
    </row>
    <row r="998" spans="2:12" ht="15.95" customHeight="1" x14ac:dyDescent="0.2">
      <c r="B998" s="223" t="s">
        <v>140</v>
      </c>
      <c r="C998" s="146" t="s">
        <v>398</v>
      </c>
      <c r="D998" s="166">
        <v>2</v>
      </c>
      <c r="E998" s="167"/>
      <c r="F998" s="167"/>
      <c r="G998" s="167"/>
      <c r="H998" s="168">
        <f>INSUMOS!E123</f>
        <v>2.5299999999999998</v>
      </c>
      <c r="I998" s="222">
        <f t="shared" si="0"/>
        <v>5.0599999999999996</v>
      </c>
    </row>
    <row r="999" spans="2:12" ht="15.95" customHeight="1" x14ac:dyDescent="0.2">
      <c r="B999" s="224" t="s">
        <v>141</v>
      </c>
      <c r="C999" s="146" t="s">
        <v>398</v>
      </c>
      <c r="D999" s="170">
        <v>1</v>
      </c>
      <c r="E999" s="171"/>
      <c r="F999" s="171"/>
      <c r="G999" s="171"/>
      <c r="H999" s="168">
        <f>INSUMOS!E124</f>
        <v>10.32</v>
      </c>
      <c r="I999" s="222">
        <f t="shared" si="0"/>
        <v>10.32</v>
      </c>
      <c r="J999" s="51"/>
    </row>
    <row r="1000" spans="2:12" x14ac:dyDescent="0.2">
      <c r="B1000" s="225" t="s">
        <v>455</v>
      </c>
      <c r="C1000" s="146" t="s">
        <v>398</v>
      </c>
      <c r="D1000" s="166">
        <v>1</v>
      </c>
      <c r="E1000" s="167"/>
      <c r="F1000" s="167"/>
      <c r="G1000" s="167"/>
      <c r="H1000" s="168">
        <f>INSUMOS!E55</f>
        <v>1500</v>
      </c>
      <c r="I1000" s="222">
        <f t="shared" ref="I1000:I1006" si="1">H1000*D1000</f>
        <v>1500</v>
      </c>
      <c r="J1000" s="101"/>
    </row>
    <row r="1001" spans="2:12" ht="15.95" customHeight="1" x14ac:dyDescent="0.2">
      <c r="B1001" s="225" t="s">
        <v>142</v>
      </c>
      <c r="C1001" s="146" t="s">
        <v>398</v>
      </c>
      <c r="D1001" s="166">
        <v>1</v>
      </c>
      <c r="E1001" s="167"/>
      <c r="F1001" s="167"/>
      <c r="G1001" s="167"/>
      <c r="H1001" s="168">
        <f>INSUMOS!E141</f>
        <v>58.35</v>
      </c>
      <c r="I1001" s="221">
        <f t="shared" si="1"/>
        <v>58.35</v>
      </c>
      <c r="J1001" s="101"/>
    </row>
    <row r="1002" spans="2:12" ht="27.75" customHeight="1" x14ac:dyDescent="0.2">
      <c r="B1002" s="225" t="s">
        <v>447</v>
      </c>
      <c r="C1002" s="146" t="s">
        <v>398</v>
      </c>
      <c r="D1002" s="166">
        <v>1</v>
      </c>
      <c r="E1002" s="167"/>
      <c r="F1002" s="167"/>
      <c r="G1002" s="167"/>
      <c r="H1002" s="168">
        <f>INSUMOS!E142</f>
        <v>412</v>
      </c>
      <c r="I1002" s="221">
        <f t="shared" si="1"/>
        <v>412</v>
      </c>
      <c r="J1002" s="101"/>
    </row>
    <row r="1003" spans="2:12" ht="25.5" x14ac:dyDescent="0.2">
      <c r="B1003" s="267" t="s">
        <v>628</v>
      </c>
      <c r="C1003" s="169" t="s">
        <v>27</v>
      </c>
      <c r="D1003" s="170">
        <v>50</v>
      </c>
      <c r="E1003" s="171"/>
      <c r="F1003" s="171"/>
      <c r="G1003" s="171"/>
      <c r="H1003" s="168">
        <f>INSUMOS!E57</f>
        <v>17.73</v>
      </c>
      <c r="I1003" s="222">
        <f t="shared" si="1"/>
        <v>886.5</v>
      </c>
      <c r="J1003" s="499"/>
      <c r="K1003" s="500"/>
      <c r="L1003" s="500"/>
    </row>
    <row r="1004" spans="2:12" ht="15.95" customHeight="1" x14ac:dyDescent="0.2">
      <c r="B1004" s="84" t="s">
        <v>595</v>
      </c>
      <c r="C1004" s="146" t="s">
        <v>398</v>
      </c>
      <c r="D1004" s="86">
        <v>1</v>
      </c>
      <c r="E1004" s="50"/>
      <c r="F1004" s="50"/>
      <c r="G1004" s="50"/>
      <c r="H1004" s="56">
        <f>INSUMOS!E71</f>
        <v>295.35000000000002</v>
      </c>
      <c r="I1004" s="87">
        <f>H1004*D1004</f>
        <v>295.35000000000002</v>
      </c>
    </row>
    <row r="1005" spans="2:12" ht="15.95" customHeight="1" x14ac:dyDescent="0.2">
      <c r="B1005" s="226" t="s">
        <v>143</v>
      </c>
      <c r="C1005" s="169" t="s">
        <v>27</v>
      </c>
      <c r="D1005" s="170">
        <v>1</v>
      </c>
      <c r="E1005" s="171"/>
      <c r="F1005" s="171"/>
      <c r="G1005" s="171"/>
      <c r="H1005" s="168">
        <f>INSUMOS!E112</f>
        <v>44.38</v>
      </c>
      <c r="I1005" s="222">
        <f t="shared" si="1"/>
        <v>44.38</v>
      </c>
      <c r="J1005" s="499"/>
      <c r="K1005" s="500"/>
      <c r="L1005" s="500"/>
    </row>
    <row r="1006" spans="2:12" ht="15.95" customHeight="1" x14ac:dyDescent="0.2">
      <c r="B1006" s="227" t="s">
        <v>594</v>
      </c>
      <c r="C1006" s="146" t="s">
        <v>398</v>
      </c>
      <c r="D1006" s="166">
        <v>60</v>
      </c>
      <c r="E1006" s="167"/>
      <c r="F1006" s="167"/>
      <c r="G1006" s="167"/>
      <c r="H1006" s="168">
        <f>INSUMOS!E113</f>
        <v>3.21</v>
      </c>
      <c r="I1006" s="221">
        <f t="shared" si="1"/>
        <v>192.6</v>
      </c>
    </row>
    <row r="1007" spans="2:12" ht="15.95" customHeight="1" x14ac:dyDescent="0.2">
      <c r="B1007" s="662" t="s">
        <v>69</v>
      </c>
      <c r="C1007" s="663"/>
      <c r="D1007" s="663"/>
      <c r="E1007" s="663"/>
      <c r="F1007" s="663"/>
      <c r="G1007" s="663"/>
      <c r="H1007" s="663"/>
      <c r="I1007" s="221">
        <f>SUM(I988:I1006)</f>
        <v>3883.07</v>
      </c>
    </row>
    <row r="1008" spans="2:12" s="128" customFormat="1" ht="30" customHeight="1" x14ac:dyDescent="0.2">
      <c r="B1008" s="652" t="s">
        <v>72</v>
      </c>
      <c r="C1008" s="653"/>
      <c r="D1008" s="653"/>
      <c r="E1008" s="653"/>
      <c r="F1008" s="653"/>
      <c r="G1008" s="653"/>
      <c r="H1008" s="653"/>
      <c r="I1008" s="654"/>
    </row>
    <row r="1009" spans="2:9" x14ac:dyDescent="0.2">
      <c r="B1009" s="228" t="s">
        <v>59</v>
      </c>
      <c r="C1009" s="164" t="s">
        <v>5</v>
      </c>
      <c r="D1009" s="146" t="s">
        <v>6</v>
      </c>
      <c r="E1009" s="167"/>
      <c r="F1009" s="167"/>
      <c r="G1009" s="167"/>
      <c r="H1009" s="146" t="s">
        <v>71</v>
      </c>
      <c r="I1009" s="219" t="s">
        <v>65</v>
      </c>
    </row>
    <row r="1010" spans="2:9" x14ac:dyDescent="0.2">
      <c r="B1010" s="229"/>
      <c r="C1010" s="146"/>
      <c r="D1010" s="146"/>
      <c r="E1010" s="167"/>
      <c r="F1010" s="167"/>
      <c r="G1010" s="167"/>
      <c r="H1010" s="146"/>
      <c r="I1010" s="221">
        <f>D1010*H1010</f>
        <v>0</v>
      </c>
    </row>
    <row r="1011" spans="2:9" x14ac:dyDescent="0.2">
      <c r="B1011" s="645" t="s">
        <v>69</v>
      </c>
      <c r="C1011" s="646"/>
      <c r="D1011" s="646"/>
      <c r="E1011" s="646"/>
      <c r="F1011" s="646"/>
      <c r="G1011" s="646"/>
      <c r="H1011" s="646"/>
      <c r="I1011" s="230">
        <f>SUM(I1010:I1010)</f>
        <v>0</v>
      </c>
    </row>
    <row r="1012" spans="2:9" s="128" customFormat="1" ht="30" customHeight="1" x14ac:dyDescent="0.2">
      <c r="B1012" s="634" t="s">
        <v>74</v>
      </c>
      <c r="C1012" s="597"/>
      <c r="D1012" s="597"/>
      <c r="E1012" s="597"/>
      <c r="F1012" s="597"/>
      <c r="G1012" s="597"/>
      <c r="H1012" s="597"/>
      <c r="I1012" s="635"/>
    </row>
    <row r="1013" spans="2:9" ht="15.95" customHeight="1" x14ac:dyDescent="0.2">
      <c r="B1013" s="231" t="s">
        <v>59</v>
      </c>
      <c r="C1013" s="78" t="s">
        <v>5</v>
      </c>
      <c r="D1013" s="110" t="s">
        <v>6</v>
      </c>
      <c r="E1013" s="42"/>
      <c r="F1013" s="42"/>
      <c r="G1013" s="42"/>
      <c r="H1013" s="40" t="s">
        <v>71</v>
      </c>
      <c r="I1013" s="217" t="s">
        <v>65</v>
      </c>
    </row>
    <row r="1014" spans="2:9" ht="15.95" customHeight="1" x14ac:dyDescent="0.2">
      <c r="B1014" s="232" t="s">
        <v>75</v>
      </c>
      <c r="C1014" s="71" t="s">
        <v>67</v>
      </c>
      <c r="D1014" s="47">
        <v>8</v>
      </c>
      <c r="E1014" s="46"/>
      <c r="F1014" s="46"/>
      <c r="G1014" s="46"/>
      <c r="H1014" s="56">
        <f>INSUMOS!E14</f>
        <v>3.42</v>
      </c>
      <c r="I1014" s="234">
        <f>H1014*D1014</f>
        <v>27.36</v>
      </c>
    </row>
    <row r="1015" spans="2:9" ht="15.95" customHeight="1" x14ac:dyDescent="0.2">
      <c r="B1015" s="233" t="s">
        <v>144</v>
      </c>
      <c r="C1015" s="71" t="s">
        <v>67</v>
      </c>
      <c r="D1015" s="47">
        <v>2</v>
      </c>
      <c r="E1015" s="46"/>
      <c r="F1015" s="46"/>
      <c r="G1015" s="46"/>
      <c r="H1015" s="56">
        <f>INSUMOS!E21</f>
        <v>4.55</v>
      </c>
      <c r="I1015" s="234">
        <f>H1015*D1015</f>
        <v>9.1</v>
      </c>
    </row>
    <row r="1016" spans="2:9" ht="15.95" customHeight="1" x14ac:dyDescent="0.2">
      <c r="B1016" s="233" t="s">
        <v>121</v>
      </c>
      <c r="C1016" s="71" t="s">
        <v>67</v>
      </c>
      <c r="D1016" s="47">
        <v>3</v>
      </c>
      <c r="E1016" s="46"/>
      <c r="F1016" s="46"/>
      <c r="G1016" s="46"/>
      <c r="H1016" s="56">
        <f>INSUMOS!E24</f>
        <v>4.55</v>
      </c>
      <c r="I1016" s="234">
        <f>H1016*D1016</f>
        <v>13.65</v>
      </c>
    </row>
    <row r="1017" spans="2:9" ht="15.95" customHeight="1" x14ac:dyDescent="0.2">
      <c r="B1017" s="599" t="s">
        <v>641</v>
      </c>
      <c r="C1017" s="599"/>
      <c r="D1017" s="599"/>
      <c r="E1017" s="599"/>
      <c r="F1017" s="599"/>
      <c r="G1017" s="599"/>
      <c r="H1017" s="599"/>
      <c r="I1017" s="234">
        <f>SUM(I1014:I1016)*0.9103</f>
        <v>45.62</v>
      </c>
    </row>
    <row r="1018" spans="2:9" ht="15.95" customHeight="1" x14ac:dyDescent="0.2">
      <c r="B1018" s="636" t="s">
        <v>69</v>
      </c>
      <c r="C1018" s="598"/>
      <c r="D1018" s="598"/>
      <c r="E1018" s="598"/>
      <c r="F1018" s="598"/>
      <c r="G1018" s="598"/>
      <c r="H1018" s="598"/>
      <c r="I1018" s="230">
        <f>SUM(I1014:I1017)</f>
        <v>95.73</v>
      </c>
    </row>
    <row r="1019" spans="2:9" ht="15.95" customHeight="1" x14ac:dyDescent="0.2">
      <c r="B1019" s="236" t="s">
        <v>76</v>
      </c>
      <c r="C1019" s="149">
        <v>1</v>
      </c>
      <c r="D1019" s="671" t="s">
        <v>77</v>
      </c>
      <c r="E1019" s="672"/>
      <c r="F1019" s="672"/>
      <c r="G1019" s="672"/>
      <c r="H1019" s="673"/>
      <c r="I1019" s="230">
        <f>I985+I1007+I1011+I1018</f>
        <v>3978.8</v>
      </c>
    </row>
    <row r="1020" spans="2:9" ht="15.95" customHeight="1" x14ac:dyDescent="0.2">
      <c r="B1020" s="705"/>
      <c r="C1020" s="594"/>
      <c r="D1020" s="594"/>
      <c r="E1020" s="594"/>
      <c r="F1020" s="594"/>
      <c r="G1020" s="594"/>
      <c r="H1020" s="595"/>
      <c r="I1020" s="230">
        <f>I1019/C1019</f>
        <v>3978.8</v>
      </c>
    </row>
    <row r="1021" spans="2:9" ht="15.95" customHeight="1" x14ac:dyDescent="0.2">
      <c r="B1021" s="237" t="s">
        <v>346</v>
      </c>
      <c r="C1021" s="146">
        <v>25</v>
      </c>
      <c r="D1021" s="147" t="s">
        <v>272</v>
      </c>
      <c r="E1021" s="137"/>
      <c r="F1021" s="137"/>
      <c r="G1021" s="137"/>
      <c r="H1021" s="138"/>
      <c r="I1021" s="234">
        <f>C1021/100*I1020</f>
        <v>994.7</v>
      </c>
    </row>
    <row r="1022" spans="2:9" s="128" customFormat="1" ht="30" customHeight="1" thickBot="1" x14ac:dyDescent="0.25">
      <c r="B1022" s="629" t="s">
        <v>78</v>
      </c>
      <c r="C1022" s="630"/>
      <c r="D1022" s="630"/>
      <c r="E1022" s="630"/>
      <c r="F1022" s="630"/>
      <c r="G1022" s="630"/>
      <c r="H1022" s="630"/>
      <c r="I1022" s="136">
        <f>SUM(I1020:I1021)</f>
        <v>4973.5</v>
      </c>
    </row>
    <row r="1029" spans="1:10" ht="13.5" thickBot="1" x14ac:dyDescent="0.25"/>
    <row r="1030" spans="1:10" s="128" customFormat="1" ht="30" customHeight="1" x14ac:dyDescent="0.2">
      <c r="B1030" s="202" t="s">
        <v>55</v>
      </c>
      <c r="C1030" s="488" t="str">
        <f>INSTALAÇÃO!B26</f>
        <v>2.5</v>
      </c>
      <c r="D1030" s="665" t="s">
        <v>56</v>
      </c>
      <c r="E1030" s="665"/>
      <c r="F1030" s="665"/>
      <c r="G1030" s="665"/>
      <c r="H1030" s="665"/>
      <c r="I1030" s="665"/>
    </row>
    <row r="1031" spans="1:10" s="128" customFormat="1" ht="30" customHeight="1" x14ac:dyDescent="0.2">
      <c r="B1031" s="666" t="s">
        <v>344</v>
      </c>
      <c r="C1031" s="667"/>
      <c r="D1031" s="667"/>
      <c r="E1031" s="667"/>
      <c r="F1031" s="667"/>
      <c r="G1031" s="668"/>
      <c r="H1031" s="669" t="s">
        <v>568</v>
      </c>
      <c r="I1031" s="670"/>
    </row>
    <row r="1032" spans="1:10" s="128" customFormat="1" ht="30" customHeight="1" x14ac:dyDescent="0.2">
      <c r="B1032" s="664" t="s">
        <v>114</v>
      </c>
      <c r="C1032" s="664"/>
      <c r="D1032" s="664"/>
      <c r="E1032" s="664"/>
      <c r="F1032" s="664"/>
      <c r="G1032" s="664"/>
      <c r="H1032" s="34" t="s">
        <v>57</v>
      </c>
      <c r="I1032" s="127" t="s">
        <v>32</v>
      </c>
      <c r="J1032" s="128" t="s">
        <v>354</v>
      </c>
    </row>
    <row r="1033" spans="1:10" s="128" customFormat="1" ht="30" customHeight="1" x14ac:dyDescent="0.2">
      <c r="B1033" s="597" t="s">
        <v>58</v>
      </c>
      <c r="C1033" s="597"/>
      <c r="D1033" s="597"/>
      <c r="E1033" s="597"/>
      <c r="F1033" s="597"/>
      <c r="G1033" s="597"/>
      <c r="H1033" s="597"/>
      <c r="I1033" s="597"/>
    </row>
    <row r="1034" spans="1:10" ht="25.5" x14ac:dyDescent="0.2">
      <c r="A1034" s="93"/>
      <c r="B1034" s="35" t="s">
        <v>59</v>
      </c>
      <c r="C1034" s="173" t="s">
        <v>5</v>
      </c>
      <c r="D1034" s="36" t="s">
        <v>6</v>
      </c>
      <c r="E1034" s="36" t="s">
        <v>61</v>
      </c>
      <c r="F1034" s="36" t="s">
        <v>62</v>
      </c>
      <c r="G1034" s="36" t="s">
        <v>63</v>
      </c>
      <c r="H1034" s="36" t="s">
        <v>64</v>
      </c>
      <c r="I1034" s="37" t="s">
        <v>65</v>
      </c>
    </row>
    <row r="1035" spans="1:10" ht="15.95" customHeight="1" x14ac:dyDescent="0.2">
      <c r="B1035" s="97"/>
      <c r="C1035" s="39"/>
      <c r="D1035" s="141"/>
      <c r="E1035" s="40"/>
      <c r="F1035" s="40"/>
      <c r="G1035" s="40"/>
      <c r="H1035" s="40"/>
      <c r="I1035" s="43">
        <f>H1035*D1035</f>
        <v>0</v>
      </c>
    </row>
    <row r="1036" spans="1:10" ht="15.95" customHeight="1" x14ac:dyDescent="0.2">
      <c r="B1036" s="598" t="s">
        <v>69</v>
      </c>
      <c r="C1036" s="598"/>
      <c r="D1036" s="598"/>
      <c r="E1036" s="598"/>
      <c r="F1036" s="598"/>
      <c r="G1036" s="598"/>
      <c r="H1036" s="598"/>
      <c r="I1036" s="95">
        <f>SUM(I1035:I1035)</f>
        <v>0</v>
      </c>
    </row>
    <row r="1037" spans="1:10" s="128" customFormat="1" ht="30" customHeight="1" x14ac:dyDescent="0.2">
      <c r="B1037" s="597" t="s">
        <v>70</v>
      </c>
      <c r="C1037" s="597"/>
      <c r="D1037" s="597"/>
      <c r="E1037" s="597"/>
      <c r="F1037" s="597"/>
      <c r="G1037" s="597"/>
      <c r="H1037" s="597"/>
      <c r="I1037" s="597"/>
    </row>
    <row r="1038" spans="1:10" ht="15.95" customHeight="1" x14ac:dyDescent="0.2">
      <c r="B1038" s="181" t="s">
        <v>59</v>
      </c>
      <c r="C1038" s="182" t="s">
        <v>5</v>
      </c>
      <c r="D1038" s="47" t="s">
        <v>6</v>
      </c>
      <c r="E1038" s="46"/>
      <c r="F1038" s="46"/>
      <c r="G1038" s="46"/>
      <c r="H1038" s="47" t="s">
        <v>71</v>
      </c>
      <c r="I1038" s="90" t="s">
        <v>65</v>
      </c>
    </row>
    <row r="1039" spans="1:10" ht="15.95" customHeight="1" x14ac:dyDescent="0.2">
      <c r="B1039" s="97"/>
      <c r="C1039" s="88"/>
      <c r="D1039" s="89"/>
      <c r="E1039" s="46"/>
      <c r="F1039" s="46"/>
      <c r="G1039" s="46"/>
      <c r="H1039" s="47"/>
      <c r="I1039" s="90">
        <f>H1039*D1039</f>
        <v>0</v>
      </c>
    </row>
    <row r="1040" spans="1:10" ht="15.95" customHeight="1" x14ac:dyDescent="0.2">
      <c r="B1040" s="598" t="s">
        <v>69</v>
      </c>
      <c r="C1040" s="598"/>
      <c r="D1040" s="598"/>
      <c r="E1040" s="598"/>
      <c r="F1040" s="598"/>
      <c r="G1040" s="598"/>
      <c r="H1040" s="598"/>
      <c r="I1040" s="90">
        <f>SUM(I1039:I1039)</f>
        <v>0</v>
      </c>
    </row>
    <row r="1041" spans="2:10" s="128" customFormat="1" ht="30" customHeight="1" x14ac:dyDescent="0.2">
      <c r="B1041" s="597" t="s">
        <v>72</v>
      </c>
      <c r="C1041" s="597"/>
      <c r="D1041" s="597"/>
      <c r="E1041" s="597"/>
      <c r="F1041" s="597"/>
      <c r="G1041" s="597"/>
      <c r="H1041" s="597"/>
      <c r="I1041" s="597"/>
    </row>
    <row r="1042" spans="2:10" ht="15.95" customHeight="1" x14ac:dyDescent="0.2">
      <c r="B1042" s="45" t="s">
        <v>59</v>
      </c>
      <c r="C1042" s="71" t="s">
        <v>5</v>
      </c>
      <c r="D1042" s="47" t="s">
        <v>6</v>
      </c>
      <c r="E1042" s="46"/>
      <c r="F1042" s="46"/>
      <c r="G1042" s="46"/>
      <c r="H1042" s="47" t="s">
        <v>71</v>
      </c>
      <c r="I1042" s="90" t="s">
        <v>65</v>
      </c>
    </row>
    <row r="1043" spans="2:10" ht="15.95" customHeight="1" x14ac:dyDescent="0.2">
      <c r="B1043" s="84"/>
      <c r="C1043" s="47"/>
      <c r="D1043" s="47"/>
      <c r="E1043" s="46"/>
      <c r="F1043" s="46"/>
      <c r="G1043" s="46"/>
      <c r="H1043" s="47"/>
      <c r="I1043" s="90">
        <f>D1043*H1043</f>
        <v>0</v>
      </c>
    </row>
    <row r="1044" spans="2:10" ht="15.95" customHeight="1" x14ac:dyDescent="0.2">
      <c r="B1044" s="598" t="s">
        <v>69</v>
      </c>
      <c r="C1044" s="598"/>
      <c r="D1044" s="598"/>
      <c r="E1044" s="598"/>
      <c r="F1044" s="598"/>
      <c r="G1044" s="598"/>
      <c r="H1044" s="598"/>
      <c r="I1044" s="90">
        <f>SUM(I1043:I1043)</f>
        <v>0</v>
      </c>
    </row>
    <row r="1045" spans="2:10" s="128" customFormat="1" ht="30" customHeight="1" x14ac:dyDescent="0.2">
      <c r="B1045" s="597" t="s">
        <v>74</v>
      </c>
      <c r="C1045" s="597"/>
      <c r="D1045" s="597"/>
      <c r="E1045" s="597"/>
      <c r="F1045" s="597"/>
      <c r="G1045" s="597"/>
      <c r="H1045" s="597"/>
      <c r="I1045" s="597"/>
    </row>
    <row r="1046" spans="2:10" ht="15.95" customHeight="1" x14ac:dyDescent="0.2">
      <c r="B1046" s="181" t="s">
        <v>59</v>
      </c>
      <c r="C1046" s="182" t="s">
        <v>5</v>
      </c>
      <c r="D1046" s="145" t="s">
        <v>6</v>
      </c>
      <c r="E1046" s="46"/>
      <c r="F1046" s="46"/>
      <c r="G1046" s="46"/>
      <c r="H1046" s="47" t="s">
        <v>71</v>
      </c>
      <c r="I1046" s="90" t="s">
        <v>65</v>
      </c>
    </row>
    <row r="1047" spans="2:10" ht="15.95" customHeight="1" x14ac:dyDescent="0.2">
      <c r="B1047" s="53" t="s">
        <v>75</v>
      </c>
      <c r="C1047" s="71" t="s">
        <v>67</v>
      </c>
      <c r="D1047" s="47">
        <v>2.6</v>
      </c>
      <c r="E1047" s="46"/>
      <c r="F1047" s="46"/>
      <c r="G1047" s="46"/>
      <c r="H1047" s="56">
        <f>INSUMOS!E14</f>
        <v>3.42</v>
      </c>
      <c r="I1047" s="90">
        <f>H1047*D1047</f>
        <v>8.89</v>
      </c>
    </row>
    <row r="1048" spans="2:10" ht="15.95" customHeight="1" x14ac:dyDescent="0.2">
      <c r="B1048" s="599" t="s">
        <v>641</v>
      </c>
      <c r="C1048" s="599"/>
      <c r="D1048" s="599"/>
      <c r="E1048" s="599"/>
      <c r="F1048" s="599"/>
      <c r="G1048" s="599"/>
      <c r="H1048" s="599"/>
      <c r="I1048" s="90">
        <f>SUM(I1047:I1047)*0.9103</f>
        <v>8.09</v>
      </c>
    </row>
    <row r="1049" spans="2:10" ht="15.95" customHeight="1" x14ac:dyDescent="0.2">
      <c r="B1049" s="598" t="s">
        <v>69</v>
      </c>
      <c r="C1049" s="598"/>
      <c r="D1049" s="598"/>
      <c r="E1049" s="598"/>
      <c r="F1049" s="598"/>
      <c r="G1049" s="598"/>
      <c r="H1049" s="598"/>
      <c r="I1049" s="95">
        <f>SUM(I1047:I1048)</f>
        <v>16.98</v>
      </c>
    </row>
    <row r="1050" spans="2:10" ht="15.95" customHeight="1" x14ac:dyDescent="0.2">
      <c r="B1050" s="148" t="s">
        <v>76</v>
      </c>
      <c r="C1050" s="149">
        <v>1</v>
      </c>
      <c r="D1050" s="671" t="s">
        <v>77</v>
      </c>
      <c r="E1050" s="672"/>
      <c r="F1050" s="672"/>
      <c r="G1050" s="672"/>
      <c r="H1050" s="673"/>
      <c r="I1050" s="95">
        <f>I1036+I1040+I1044+I1049</f>
        <v>16.98</v>
      </c>
    </row>
    <row r="1051" spans="2:10" ht="15.95" customHeight="1" x14ac:dyDescent="0.2">
      <c r="B1051" s="593"/>
      <c r="C1051" s="594"/>
      <c r="D1051" s="594"/>
      <c r="E1051" s="594"/>
      <c r="F1051" s="594"/>
      <c r="G1051" s="594"/>
      <c r="H1051" s="595"/>
      <c r="I1051" s="95">
        <f>I1050/C1050</f>
        <v>16.98</v>
      </c>
      <c r="J1051" s="33">
        <v>20.99</v>
      </c>
    </row>
    <row r="1052" spans="2:10" ht="15.95" customHeight="1" x14ac:dyDescent="0.2">
      <c r="B1052" s="140" t="s">
        <v>346</v>
      </c>
      <c r="C1052" s="146">
        <v>25</v>
      </c>
      <c r="D1052" s="147" t="s">
        <v>272</v>
      </c>
      <c r="E1052" s="137"/>
      <c r="F1052" s="137"/>
      <c r="G1052" s="137"/>
      <c r="H1052" s="138"/>
      <c r="I1052" s="90">
        <f>C1052/100*I1051</f>
        <v>4.25</v>
      </c>
    </row>
    <row r="1053" spans="2:10" s="128" customFormat="1" ht="30" customHeight="1" thickBot="1" x14ac:dyDescent="0.25">
      <c r="B1053" s="596" t="s">
        <v>78</v>
      </c>
      <c r="C1053" s="596"/>
      <c r="D1053" s="596"/>
      <c r="E1053" s="596"/>
      <c r="F1053" s="596"/>
      <c r="G1053" s="596"/>
      <c r="H1053" s="596"/>
      <c r="I1053" s="136">
        <f>SUM(I1051:I1052)</f>
        <v>21.23</v>
      </c>
    </row>
    <row r="1060" spans="1:9" s="128" customFormat="1" ht="30" customHeight="1" x14ac:dyDescent="0.2">
      <c r="B1060" s="202" t="s">
        <v>55</v>
      </c>
      <c r="C1060" s="488" t="str">
        <f>INSTALAÇÃO!B27</f>
        <v>2.6</v>
      </c>
      <c r="D1060" s="665" t="s">
        <v>56</v>
      </c>
      <c r="E1060" s="665"/>
      <c r="F1060" s="665"/>
      <c r="G1060" s="665"/>
      <c r="H1060" s="665"/>
      <c r="I1060" s="665"/>
    </row>
    <row r="1061" spans="1:9" s="128" customFormat="1" ht="30" customHeight="1" x14ac:dyDescent="0.2">
      <c r="B1061" s="690" t="s">
        <v>344</v>
      </c>
      <c r="C1061" s="691"/>
      <c r="D1061" s="691"/>
      <c r="E1061" s="691"/>
      <c r="F1061" s="691"/>
      <c r="G1061" s="692"/>
      <c r="H1061" s="669" t="s">
        <v>568</v>
      </c>
      <c r="I1061" s="670"/>
    </row>
    <row r="1062" spans="1:9" s="128" customFormat="1" ht="30" customHeight="1" x14ac:dyDescent="0.2">
      <c r="B1062" s="664" t="s">
        <v>115</v>
      </c>
      <c r="C1062" s="664"/>
      <c r="D1062" s="664"/>
      <c r="E1062" s="664"/>
      <c r="F1062" s="664"/>
      <c r="G1062" s="664"/>
      <c r="H1062" s="34" t="s">
        <v>57</v>
      </c>
      <c r="I1062" s="127" t="s">
        <v>32</v>
      </c>
    </row>
    <row r="1063" spans="1:9" s="128" customFormat="1" ht="30" customHeight="1" x14ac:dyDescent="0.2">
      <c r="B1063" s="597" t="s">
        <v>58</v>
      </c>
      <c r="C1063" s="597"/>
      <c r="D1063" s="597"/>
      <c r="E1063" s="597"/>
      <c r="F1063" s="597"/>
      <c r="G1063" s="597"/>
      <c r="H1063" s="597"/>
      <c r="I1063" s="597"/>
    </row>
    <row r="1064" spans="1:9" ht="25.5" x14ac:dyDescent="0.2">
      <c r="A1064" s="93"/>
      <c r="B1064" s="35" t="s">
        <v>59</v>
      </c>
      <c r="C1064" s="173" t="s">
        <v>5</v>
      </c>
      <c r="D1064" s="36" t="s">
        <v>6</v>
      </c>
      <c r="E1064" s="36" t="s">
        <v>61</v>
      </c>
      <c r="F1064" s="36" t="s">
        <v>62</v>
      </c>
      <c r="G1064" s="36" t="s">
        <v>63</v>
      </c>
      <c r="H1064" s="36" t="s">
        <v>64</v>
      </c>
      <c r="I1064" s="37" t="s">
        <v>65</v>
      </c>
    </row>
    <row r="1065" spans="1:9" ht="15.95" customHeight="1" x14ac:dyDescent="0.2">
      <c r="B1065" s="84" t="s">
        <v>116</v>
      </c>
      <c r="C1065" s="85" t="s">
        <v>67</v>
      </c>
      <c r="D1065" s="86">
        <v>3.07</v>
      </c>
      <c r="E1065" s="49"/>
      <c r="F1065" s="49"/>
      <c r="G1065" s="56">
        <f>INSUMOS!E155</f>
        <v>2.89</v>
      </c>
      <c r="H1065" s="49"/>
      <c r="I1065" s="87">
        <f>D1065*G1065</f>
        <v>8.8699999999999992</v>
      </c>
    </row>
    <row r="1066" spans="1:9" ht="15.95" customHeight="1" x14ac:dyDescent="0.2">
      <c r="B1066" s="598" t="s">
        <v>69</v>
      </c>
      <c r="C1066" s="598"/>
      <c r="D1066" s="598"/>
      <c r="E1066" s="598"/>
      <c r="F1066" s="598"/>
      <c r="G1066" s="598"/>
      <c r="H1066" s="598"/>
      <c r="I1066" s="95">
        <f>SUM(I1065:I1065)</f>
        <v>8.8699999999999992</v>
      </c>
    </row>
    <row r="1067" spans="1:9" s="128" customFormat="1" ht="30" customHeight="1" x14ac:dyDescent="0.2">
      <c r="B1067" s="597" t="s">
        <v>70</v>
      </c>
      <c r="C1067" s="597"/>
      <c r="D1067" s="597"/>
      <c r="E1067" s="597"/>
      <c r="F1067" s="597"/>
      <c r="G1067" s="597"/>
      <c r="H1067" s="597"/>
      <c r="I1067" s="597"/>
    </row>
    <row r="1068" spans="1:9" x14ac:dyDescent="0.2">
      <c r="B1068" s="96" t="s">
        <v>59</v>
      </c>
      <c r="C1068" s="78" t="s">
        <v>5</v>
      </c>
      <c r="D1068" s="40" t="s">
        <v>6</v>
      </c>
      <c r="E1068" s="42"/>
      <c r="F1068" s="42"/>
      <c r="G1068" s="42"/>
      <c r="H1068" s="40" t="s">
        <v>71</v>
      </c>
      <c r="I1068" s="43" t="s">
        <v>65</v>
      </c>
    </row>
    <row r="1069" spans="1:9" x14ac:dyDescent="0.2">
      <c r="B1069" s="38"/>
      <c r="C1069" s="88"/>
      <c r="D1069" s="89"/>
      <c r="E1069" s="46"/>
      <c r="F1069" s="46"/>
      <c r="G1069" s="46"/>
      <c r="H1069" s="47"/>
      <c r="I1069" s="90">
        <f>H1069*D1069</f>
        <v>0</v>
      </c>
    </row>
    <row r="1070" spans="1:9" x14ac:dyDescent="0.2">
      <c r="B1070" s="598" t="s">
        <v>69</v>
      </c>
      <c r="C1070" s="598"/>
      <c r="D1070" s="598"/>
      <c r="E1070" s="598"/>
      <c r="F1070" s="598"/>
      <c r="G1070" s="598"/>
      <c r="H1070" s="598"/>
      <c r="I1070" s="90">
        <f>SUM(I1069:I1069)</f>
        <v>0</v>
      </c>
    </row>
    <row r="1071" spans="1:9" s="128" customFormat="1" ht="30" customHeight="1" x14ac:dyDescent="0.2">
      <c r="B1071" s="597" t="s">
        <v>72</v>
      </c>
      <c r="C1071" s="597"/>
      <c r="D1071" s="597"/>
      <c r="E1071" s="597"/>
      <c r="F1071" s="597"/>
      <c r="G1071" s="597"/>
      <c r="H1071" s="597"/>
      <c r="I1071" s="597"/>
    </row>
    <row r="1072" spans="1:9" x14ac:dyDescent="0.2">
      <c r="B1072" s="45" t="s">
        <v>59</v>
      </c>
      <c r="C1072" s="57" t="s">
        <v>5</v>
      </c>
      <c r="D1072" s="47" t="s">
        <v>6</v>
      </c>
      <c r="E1072" s="46"/>
      <c r="F1072" s="46"/>
      <c r="G1072" s="46"/>
      <c r="H1072" s="47" t="s">
        <v>71</v>
      </c>
      <c r="I1072" s="43" t="s">
        <v>65</v>
      </c>
    </row>
    <row r="1073" spans="2:10" x14ac:dyDescent="0.2">
      <c r="B1073" s="84"/>
      <c r="C1073" s="47"/>
      <c r="D1073" s="47"/>
      <c r="E1073" s="46"/>
      <c r="F1073" s="46"/>
      <c r="G1073" s="46"/>
      <c r="H1073" s="47"/>
      <c r="I1073" s="90">
        <f>D1073*H1073</f>
        <v>0</v>
      </c>
    </row>
    <row r="1074" spans="2:10" x14ac:dyDescent="0.2">
      <c r="B1074" s="598" t="s">
        <v>69</v>
      </c>
      <c r="C1074" s="598"/>
      <c r="D1074" s="598"/>
      <c r="E1074" s="598"/>
      <c r="F1074" s="598"/>
      <c r="G1074" s="598"/>
      <c r="H1074" s="598"/>
      <c r="I1074" s="90">
        <f>SUM(I1073:I1073)</f>
        <v>0</v>
      </c>
    </row>
    <row r="1075" spans="2:10" s="128" customFormat="1" ht="30" customHeight="1" x14ac:dyDescent="0.2">
      <c r="B1075" s="597" t="s">
        <v>74</v>
      </c>
      <c r="C1075" s="597"/>
      <c r="D1075" s="597"/>
      <c r="E1075" s="597"/>
      <c r="F1075" s="597"/>
      <c r="G1075" s="597"/>
      <c r="H1075" s="597"/>
      <c r="I1075" s="597"/>
    </row>
    <row r="1076" spans="2:10" ht="15.95" customHeight="1" x14ac:dyDescent="0.2">
      <c r="B1076" s="96" t="s">
        <v>59</v>
      </c>
      <c r="C1076" s="78" t="s">
        <v>5</v>
      </c>
      <c r="D1076" s="110" t="s">
        <v>6</v>
      </c>
      <c r="E1076" s="42"/>
      <c r="F1076" s="42"/>
      <c r="G1076" s="42"/>
      <c r="H1076" s="40" t="s">
        <v>71</v>
      </c>
      <c r="I1076" s="43" t="s">
        <v>65</v>
      </c>
    </row>
    <row r="1077" spans="2:10" ht="15.95" customHeight="1" x14ac:dyDescent="0.2">
      <c r="B1077" s="53" t="s">
        <v>75</v>
      </c>
      <c r="C1077" s="71" t="s">
        <v>67</v>
      </c>
      <c r="D1077" s="47">
        <v>1</v>
      </c>
      <c r="E1077" s="46"/>
      <c r="F1077" s="46"/>
      <c r="G1077" s="46"/>
      <c r="H1077" s="56">
        <f>INSUMOS!E14</f>
        <v>3.42</v>
      </c>
      <c r="I1077" s="90">
        <f>H1077*D1077</f>
        <v>3.42</v>
      </c>
    </row>
    <row r="1078" spans="2:10" ht="15.95" customHeight="1" x14ac:dyDescent="0.2">
      <c r="B1078" s="599" t="s">
        <v>641</v>
      </c>
      <c r="C1078" s="599"/>
      <c r="D1078" s="599"/>
      <c r="E1078" s="599"/>
      <c r="F1078" s="599"/>
      <c r="G1078" s="599"/>
      <c r="H1078" s="599"/>
      <c r="I1078" s="90">
        <f>SUM(I1077:I1077)*0.9103</f>
        <v>3.11</v>
      </c>
    </row>
    <row r="1079" spans="2:10" ht="15.95" customHeight="1" x14ac:dyDescent="0.2">
      <c r="B1079" s="598" t="s">
        <v>69</v>
      </c>
      <c r="C1079" s="598"/>
      <c r="D1079" s="598"/>
      <c r="E1079" s="598"/>
      <c r="F1079" s="598"/>
      <c r="G1079" s="598"/>
      <c r="H1079" s="598"/>
      <c r="I1079" s="95">
        <f>SUM(I1077:I1078)</f>
        <v>6.53</v>
      </c>
    </row>
    <row r="1080" spans="2:10" ht="15.95" customHeight="1" x14ac:dyDescent="0.2">
      <c r="B1080" s="148" t="s">
        <v>76</v>
      </c>
      <c r="C1080" s="149">
        <v>1</v>
      </c>
      <c r="D1080" s="671" t="s">
        <v>77</v>
      </c>
      <c r="E1080" s="672"/>
      <c r="F1080" s="672"/>
      <c r="G1080" s="672"/>
      <c r="H1080" s="673"/>
      <c r="I1080" s="95">
        <f>I1066+I1070+I1074+I1079</f>
        <v>15.4</v>
      </c>
    </row>
    <row r="1081" spans="2:10" ht="15.95" customHeight="1" x14ac:dyDescent="0.2">
      <c r="B1081" s="593"/>
      <c r="C1081" s="594"/>
      <c r="D1081" s="594"/>
      <c r="E1081" s="594"/>
      <c r="F1081" s="594"/>
      <c r="G1081" s="594"/>
      <c r="H1081" s="595"/>
      <c r="I1081" s="95">
        <f>I1080/C1080</f>
        <v>15.4</v>
      </c>
      <c r="J1081" s="33">
        <v>16.3</v>
      </c>
    </row>
    <row r="1082" spans="2:10" ht="15.95" customHeight="1" x14ac:dyDescent="0.2">
      <c r="B1082" s="140" t="s">
        <v>346</v>
      </c>
      <c r="C1082" s="146">
        <v>25</v>
      </c>
      <c r="D1082" s="147" t="s">
        <v>272</v>
      </c>
      <c r="E1082" s="137"/>
      <c r="F1082" s="137"/>
      <c r="G1082" s="137"/>
      <c r="H1082" s="138"/>
      <c r="I1082" s="90">
        <f>C1082/100*I1081</f>
        <v>3.85</v>
      </c>
    </row>
    <row r="1083" spans="2:10" s="128" customFormat="1" ht="30" customHeight="1" thickBot="1" x14ac:dyDescent="0.25">
      <c r="B1083" s="596" t="s">
        <v>78</v>
      </c>
      <c r="C1083" s="596"/>
      <c r="D1083" s="596"/>
      <c r="E1083" s="596"/>
      <c r="F1083" s="596"/>
      <c r="G1083" s="596"/>
      <c r="H1083" s="596"/>
      <c r="I1083" s="136">
        <f>SUM(I1081:I1082)</f>
        <v>19.25</v>
      </c>
    </row>
    <row r="1091" spans="1:10" ht="30" customHeight="1" x14ac:dyDescent="0.2">
      <c r="B1091" s="202" t="s">
        <v>55</v>
      </c>
      <c r="C1091" s="488" t="str">
        <f>INSTALAÇÃO!B30</f>
        <v>2.9</v>
      </c>
      <c r="D1091" s="665" t="s">
        <v>56</v>
      </c>
      <c r="E1091" s="665"/>
      <c r="F1091" s="665"/>
      <c r="G1091" s="665"/>
      <c r="H1091" s="665"/>
      <c r="I1091" s="665"/>
    </row>
    <row r="1092" spans="1:10" s="128" customFormat="1" ht="30" customHeight="1" x14ac:dyDescent="0.2">
      <c r="B1092" s="666" t="s">
        <v>344</v>
      </c>
      <c r="C1092" s="667"/>
      <c r="D1092" s="667"/>
      <c r="E1092" s="667"/>
      <c r="F1092" s="667"/>
      <c r="G1092" s="668"/>
      <c r="H1092" s="669" t="s">
        <v>568</v>
      </c>
      <c r="I1092" s="670"/>
    </row>
    <row r="1093" spans="1:10" s="128" customFormat="1" ht="30" customHeight="1" x14ac:dyDescent="0.2">
      <c r="B1093" s="664" t="s">
        <v>122</v>
      </c>
      <c r="C1093" s="664"/>
      <c r="D1093" s="664"/>
      <c r="E1093" s="664"/>
      <c r="F1093" s="664"/>
      <c r="G1093" s="664"/>
      <c r="H1093" s="34" t="s">
        <v>57</v>
      </c>
      <c r="I1093" s="127" t="s">
        <v>27</v>
      </c>
    </row>
    <row r="1094" spans="1:10" s="128" customFormat="1" ht="30" customHeight="1" x14ac:dyDescent="0.2">
      <c r="B1094" s="597" t="s">
        <v>58</v>
      </c>
      <c r="C1094" s="597"/>
      <c r="D1094" s="597"/>
      <c r="E1094" s="597"/>
      <c r="F1094" s="597"/>
      <c r="G1094" s="597"/>
      <c r="H1094" s="597"/>
      <c r="I1094" s="597"/>
    </row>
    <row r="1095" spans="1:10" ht="25.5" x14ac:dyDescent="0.2">
      <c r="A1095" s="93"/>
      <c r="B1095" s="35" t="s">
        <v>59</v>
      </c>
      <c r="C1095" s="173" t="s">
        <v>5</v>
      </c>
      <c r="D1095" s="36" t="s">
        <v>6</v>
      </c>
      <c r="E1095" s="36" t="s">
        <v>61</v>
      </c>
      <c r="F1095" s="36" t="s">
        <v>62</v>
      </c>
      <c r="G1095" s="36" t="s">
        <v>63</v>
      </c>
      <c r="H1095" s="36" t="s">
        <v>64</v>
      </c>
      <c r="I1095" s="37" t="s">
        <v>65</v>
      </c>
    </row>
    <row r="1096" spans="1:10" x14ac:dyDescent="0.2">
      <c r="B1096" s="97"/>
      <c r="C1096" s="39"/>
      <c r="D1096" s="141"/>
      <c r="E1096" s="40"/>
      <c r="F1096" s="40"/>
      <c r="G1096" s="40"/>
      <c r="H1096" s="40"/>
      <c r="I1096" s="90">
        <f>H1096*D1096</f>
        <v>0</v>
      </c>
    </row>
    <row r="1097" spans="1:10" x14ac:dyDescent="0.2">
      <c r="B1097" s="598" t="s">
        <v>69</v>
      </c>
      <c r="C1097" s="598"/>
      <c r="D1097" s="598"/>
      <c r="E1097" s="598"/>
      <c r="F1097" s="598"/>
      <c r="G1097" s="598"/>
      <c r="H1097" s="598"/>
      <c r="I1097" s="95">
        <f>SUM(I1096:I1096)</f>
        <v>0</v>
      </c>
    </row>
    <row r="1098" spans="1:10" s="128" customFormat="1" ht="30" customHeight="1" x14ac:dyDescent="0.2">
      <c r="B1098" s="597" t="s">
        <v>70</v>
      </c>
      <c r="C1098" s="597"/>
      <c r="D1098" s="597"/>
      <c r="E1098" s="597"/>
      <c r="F1098" s="597"/>
      <c r="G1098" s="597"/>
      <c r="H1098" s="597"/>
      <c r="I1098" s="597"/>
    </row>
    <row r="1099" spans="1:10" ht="15.95" customHeight="1" x14ac:dyDescent="0.2">
      <c r="B1099" s="96" t="s">
        <v>59</v>
      </c>
      <c r="C1099" s="78" t="s">
        <v>5</v>
      </c>
      <c r="D1099" s="40" t="s">
        <v>6</v>
      </c>
      <c r="E1099" s="42"/>
      <c r="F1099" s="42"/>
      <c r="G1099" s="42"/>
      <c r="H1099" s="40" t="s">
        <v>71</v>
      </c>
      <c r="I1099" s="43" t="s">
        <v>65</v>
      </c>
    </row>
    <row r="1100" spans="1:10" ht="15.95" customHeight="1" x14ac:dyDescent="0.2">
      <c r="B1100" s="84" t="s">
        <v>123</v>
      </c>
      <c r="C1100" s="85" t="s">
        <v>88</v>
      </c>
      <c r="D1100" s="86">
        <v>0.05</v>
      </c>
      <c r="E1100" s="50"/>
      <c r="F1100" s="50"/>
      <c r="G1100" s="50"/>
      <c r="H1100" s="56">
        <f>INSUMOS!E86</f>
        <v>24.59</v>
      </c>
      <c r="I1100" s="87">
        <f>H1100*D1100</f>
        <v>1.23</v>
      </c>
    </row>
    <row r="1101" spans="1:10" ht="15.95" customHeight="1" x14ac:dyDescent="0.2">
      <c r="B1101" s="97" t="s">
        <v>124</v>
      </c>
      <c r="C1101" s="88" t="s">
        <v>27</v>
      </c>
      <c r="D1101" s="89">
        <v>1</v>
      </c>
      <c r="E1101" s="46"/>
      <c r="F1101" s="46"/>
      <c r="G1101" s="46"/>
      <c r="H1101" s="56">
        <f>INSUMOS!E36</f>
        <v>5.08</v>
      </c>
      <c r="I1101" s="90">
        <f>H1101*D1101</f>
        <v>5.08</v>
      </c>
      <c r="J1101" s="101"/>
    </row>
    <row r="1102" spans="1:10" ht="15.95" customHeight="1" x14ac:dyDescent="0.2">
      <c r="B1102" s="38" t="s">
        <v>125</v>
      </c>
      <c r="C1102" s="88" t="s">
        <v>27</v>
      </c>
      <c r="D1102" s="89">
        <v>1</v>
      </c>
      <c r="E1102" s="46"/>
      <c r="F1102" s="46"/>
      <c r="G1102" s="46"/>
      <c r="H1102" s="56">
        <f>INSUMOS!E140</f>
        <v>0.08</v>
      </c>
      <c r="I1102" s="90">
        <f>H1102*D1102</f>
        <v>0.08</v>
      </c>
      <c r="J1102" s="102"/>
    </row>
    <row r="1103" spans="1:10" ht="15.95" customHeight="1" x14ac:dyDescent="0.2">
      <c r="B1103" s="38" t="s">
        <v>126</v>
      </c>
      <c r="C1103" s="146" t="s">
        <v>398</v>
      </c>
      <c r="D1103" s="89">
        <v>0.02</v>
      </c>
      <c r="E1103" s="46"/>
      <c r="F1103" s="46"/>
      <c r="G1103" s="46"/>
      <c r="H1103" s="56">
        <f>INSUMOS!E38</f>
        <v>29.11</v>
      </c>
      <c r="I1103" s="90">
        <f>H1103*D1103</f>
        <v>0.57999999999999996</v>
      </c>
    </row>
    <row r="1104" spans="1:10" ht="15.95" customHeight="1" x14ac:dyDescent="0.2">
      <c r="B1104" s="598" t="s">
        <v>69</v>
      </c>
      <c r="C1104" s="598"/>
      <c r="D1104" s="598"/>
      <c r="E1104" s="598"/>
      <c r="F1104" s="598"/>
      <c r="G1104" s="598"/>
      <c r="H1104" s="598"/>
      <c r="I1104" s="90">
        <f>SUM(I1100:I1103)</f>
        <v>6.97</v>
      </c>
    </row>
    <row r="1105" spans="2:12" s="128" customFormat="1" ht="30" customHeight="1" x14ac:dyDescent="0.2">
      <c r="B1105" s="597" t="s">
        <v>72</v>
      </c>
      <c r="C1105" s="597"/>
      <c r="D1105" s="597"/>
      <c r="E1105" s="597"/>
      <c r="F1105" s="597"/>
      <c r="G1105" s="597"/>
      <c r="H1105" s="597"/>
      <c r="I1105" s="597"/>
    </row>
    <row r="1106" spans="2:12" x14ac:dyDescent="0.2">
      <c r="B1106" s="45" t="s">
        <v>59</v>
      </c>
      <c r="C1106" s="57" t="s">
        <v>5</v>
      </c>
      <c r="D1106" s="47" t="s">
        <v>6</v>
      </c>
      <c r="E1106" s="46"/>
      <c r="F1106" s="46"/>
      <c r="G1106" s="46"/>
      <c r="H1106" s="47" t="s">
        <v>71</v>
      </c>
      <c r="I1106" s="43" t="s">
        <v>65</v>
      </c>
    </row>
    <row r="1107" spans="2:12" x14ac:dyDescent="0.2">
      <c r="B1107" s="84"/>
      <c r="C1107" s="47"/>
      <c r="D1107" s="47"/>
      <c r="E1107" s="46"/>
      <c r="F1107" s="46"/>
      <c r="G1107" s="46"/>
      <c r="H1107" s="47"/>
      <c r="I1107" s="90">
        <f>D1107*H1107</f>
        <v>0</v>
      </c>
    </row>
    <row r="1108" spans="2:12" x14ac:dyDescent="0.2">
      <c r="B1108" s="598" t="s">
        <v>69</v>
      </c>
      <c r="C1108" s="598"/>
      <c r="D1108" s="598"/>
      <c r="E1108" s="598"/>
      <c r="F1108" s="598"/>
      <c r="G1108" s="598"/>
      <c r="H1108" s="598"/>
      <c r="I1108" s="90">
        <f>SUM(I1107:I1107)</f>
        <v>0</v>
      </c>
    </row>
    <row r="1109" spans="2:12" s="128" customFormat="1" ht="30" customHeight="1" x14ac:dyDescent="0.2">
      <c r="B1109" s="597" t="s">
        <v>74</v>
      </c>
      <c r="C1109" s="597"/>
      <c r="D1109" s="597"/>
      <c r="E1109" s="597"/>
      <c r="F1109" s="597"/>
      <c r="G1109" s="597"/>
      <c r="H1109" s="597"/>
      <c r="I1109" s="597"/>
    </row>
    <row r="1110" spans="2:12" ht="15.95" customHeight="1" x14ac:dyDescent="0.2">
      <c r="B1110" s="96" t="s">
        <v>59</v>
      </c>
      <c r="C1110" s="78" t="s">
        <v>5</v>
      </c>
      <c r="D1110" s="110" t="s">
        <v>6</v>
      </c>
      <c r="E1110" s="42"/>
      <c r="F1110" s="42"/>
      <c r="G1110" s="42"/>
      <c r="H1110" s="40" t="s">
        <v>71</v>
      </c>
      <c r="I1110" s="43" t="s">
        <v>65</v>
      </c>
    </row>
    <row r="1111" spans="2:12" ht="15.95" customHeight="1" x14ac:dyDescent="0.2">
      <c r="B1111" s="53" t="s">
        <v>75</v>
      </c>
      <c r="C1111" s="71" t="s">
        <v>67</v>
      </c>
      <c r="D1111" s="47">
        <v>0.1</v>
      </c>
      <c r="E1111" s="46"/>
      <c r="F1111" s="46"/>
      <c r="G1111" s="46"/>
      <c r="H1111" s="56">
        <f>INSUMOS!E14</f>
        <v>3.42</v>
      </c>
      <c r="I1111" s="90">
        <f>H1111*D1111</f>
        <v>0.34</v>
      </c>
    </row>
    <row r="1112" spans="2:12" ht="15.95" customHeight="1" x14ac:dyDescent="0.2">
      <c r="B1112" s="91" t="s">
        <v>121</v>
      </c>
      <c r="C1112" s="71" t="s">
        <v>67</v>
      </c>
      <c r="D1112" s="47">
        <v>0.1</v>
      </c>
      <c r="E1112" s="46"/>
      <c r="F1112" s="46"/>
      <c r="G1112" s="46"/>
      <c r="H1112" s="56">
        <f>INSUMOS!E24</f>
        <v>4.55</v>
      </c>
      <c r="I1112" s="90">
        <f>H1112*D1112</f>
        <v>0.46</v>
      </c>
    </row>
    <row r="1113" spans="2:12" ht="15.95" customHeight="1" x14ac:dyDescent="0.2">
      <c r="B1113" s="599" t="s">
        <v>641</v>
      </c>
      <c r="C1113" s="599"/>
      <c r="D1113" s="599"/>
      <c r="E1113" s="599"/>
      <c r="F1113" s="599"/>
      <c r="G1113" s="599"/>
      <c r="H1113" s="599"/>
      <c r="I1113" s="90">
        <f>SUM(I1111:I1112)*0.9103</f>
        <v>0.73</v>
      </c>
    </row>
    <row r="1114" spans="2:12" ht="15.95" customHeight="1" x14ac:dyDescent="0.2">
      <c r="B1114" s="598" t="s">
        <v>69</v>
      </c>
      <c r="C1114" s="598"/>
      <c r="D1114" s="598"/>
      <c r="E1114" s="598"/>
      <c r="F1114" s="598"/>
      <c r="G1114" s="598"/>
      <c r="H1114" s="598"/>
      <c r="I1114" s="95">
        <f>SUM(I1111:I1113)</f>
        <v>1.53</v>
      </c>
      <c r="L1114" s="131"/>
    </row>
    <row r="1115" spans="2:12" ht="15.95" customHeight="1" x14ac:dyDescent="0.2">
      <c r="B1115" s="148" t="s">
        <v>76</v>
      </c>
      <c r="C1115" s="149">
        <v>1</v>
      </c>
      <c r="D1115" s="671" t="s">
        <v>77</v>
      </c>
      <c r="E1115" s="672"/>
      <c r="F1115" s="672"/>
      <c r="G1115" s="672"/>
      <c r="H1115" s="673"/>
      <c r="I1115" s="95">
        <f>I1097+I1104+I1108+I1114</f>
        <v>8.5</v>
      </c>
      <c r="J1115" s="33">
        <v>14.99</v>
      </c>
    </row>
    <row r="1116" spans="2:12" ht="15.95" customHeight="1" x14ac:dyDescent="0.2">
      <c r="B1116" s="593"/>
      <c r="C1116" s="594"/>
      <c r="D1116" s="594"/>
      <c r="E1116" s="594"/>
      <c r="F1116" s="594"/>
      <c r="G1116" s="594"/>
      <c r="H1116" s="595"/>
      <c r="I1116" s="95">
        <f>I1115/C1115</f>
        <v>8.5</v>
      </c>
    </row>
    <row r="1117" spans="2:12" ht="15.95" customHeight="1" x14ac:dyDescent="0.2">
      <c r="B1117" s="140" t="s">
        <v>346</v>
      </c>
      <c r="C1117" s="146">
        <v>25</v>
      </c>
      <c r="D1117" s="147" t="s">
        <v>272</v>
      </c>
      <c r="E1117" s="137"/>
      <c r="F1117" s="137"/>
      <c r="G1117" s="137"/>
      <c r="H1117" s="138"/>
      <c r="I1117" s="90">
        <f>C1117/100*I1116</f>
        <v>2.13</v>
      </c>
    </row>
    <row r="1118" spans="2:12" s="128" customFormat="1" ht="30" customHeight="1" thickBot="1" x14ac:dyDescent="0.25">
      <c r="B1118" s="596" t="s">
        <v>78</v>
      </c>
      <c r="C1118" s="596"/>
      <c r="D1118" s="596"/>
      <c r="E1118" s="596"/>
      <c r="F1118" s="596"/>
      <c r="G1118" s="596"/>
      <c r="H1118" s="596"/>
      <c r="I1118" s="136">
        <f>SUM(I1116:I1117)</f>
        <v>10.63</v>
      </c>
    </row>
    <row r="1125" spans="1:10" ht="13.5" thickBot="1" x14ac:dyDescent="0.25"/>
    <row r="1126" spans="1:10" ht="30" customHeight="1" x14ac:dyDescent="0.2">
      <c r="B1126" s="202" t="s">
        <v>55</v>
      </c>
      <c r="C1126" s="488" t="str">
        <f>INSTALAÇÃO!B31</f>
        <v>2.10</v>
      </c>
      <c r="D1126" s="665" t="s">
        <v>56</v>
      </c>
      <c r="E1126" s="665"/>
      <c r="F1126" s="665"/>
      <c r="G1126" s="665"/>
      <c r="H1126" s="665"/>
      <c r="I1126" s="665"/>
    </row>
    <row r="1127" spans="1:10" s="128" customFormat="1" ht="30" customHeight="1" x14ac:dyDescent="0.2">
      <c r="B1127" s="666" t="s">
        <v>344</v>
      </c>
      <c r="C1127" s="667"/>
      <c r="D1127" s="667"/>
      <c r="E1127" s="667"/>
      <c r="F1127" s="667"/>
      <c r="G1127" s="668"/>
      <c r="H1127" s="669" t="s">
        <v>568</v>
      </c>
      <c r="I1127" s="670"/>
    </row>
    <row r="1128" spans="1:10" ht="27" customHeight="1" x14ac:dyDescent="0.2">
      <c r="B1128" s="694" t="s">
        <v>577</v>
      </c>
      <c r="C1128" s="632"/>
      <c r="D1128" s="632"/>
      <c r="E1128" s="632"/>
      <c r="F1128" s="632"/>
      <c r="G1128" s="633"/>
      <c r="H1128" s="34" t="s">
        <v>57</v>
      </c>
      <c r="I1128" s="127" t="s">
        <v>398</v>
      </c>
    </row>
    <row r="1129" spans="1:10" s="128" customFormat="1" ht="30" customHeight="1" x14ac:dyDescent="0.2">
      <c r="B1129" s="597" t="s">
        <v>58</v>
      </c>
      <c r="C1129" s="597"/>
      <c r="D1129" s="597"/>
      <c r="E1129" s="597"/>
      <c r="F1129" s="597"/>
      <c r="G1129" s="597"/>
      <c r="H1129" s="597"/>
      <c r="I1129" s="597"/>
    </row>
    <row r="1130" spans="1:10" ht="25.5" x14ac:dyDescent="0.2">
      <c r="A1130" s="93"/>
      <c r="B1130" s="35" t="s">
        <v>59</v>
      </c>
      <c r="C1130" s="173" t="s">
        <v>5</v>
      </c>
      <c r="D1130" s="36" t="s">
        <v>6</v>
      </c>
      <c r="E1130" s="36" t="s">
        <v>61</v>
      </c>
      <c r="F1130" s="36" t="s">
        <v>62</v>
      </c>
      <c r="G1130" s="36" t="s">
        <v>63</v>
      </c>
      <c r="H1130" s="36" t="s">
        <v>64</v>
      </c>
      <c r="I1130" s="37" t="s">
        <v>65</v>
      </c>
    </row>
    <row r="1131" spans="1:10" x14ac:dyDescent="0.2">
      <c r="B1131" s="97"/>
      <c r="C1131" s="39"/>
      <c r="D1131" s="141"/>
      <c r="E1131" s="40"/>
      <c r="F1131" s="40"/>
      <c r="G1131" s="40"/>
      <c r="H1131" s="40"/>
      <c r="I1131" s="43">
        <f>H1131*D1131</f>
        <v>0</v>
      </c>
    </row>
    <row r="1132" spans="1:10" x14ac:dyDescent="0.2">
      <c r="B1132" s="598" t="s">
        <v>69</v>
      </c>
      <c r="C1132" s="598"/>
      <c r="D1132" s="598"/>
      <c r="E1132" s="598"/>
      <c r="F1132" s="598"/>
      <c r="G1132" s="598"/>
      <c r="H1132" s="598"/>
      <c r="I1132" s="95">
        <f>SUM(I1131:I1131)</f>
        <v>0</v>
      </c>
    </row>
    <row r="1133" spans="1:10" s="128" customFormat="1" ht="30" customHeight="1" x14ac:dyDescent="0.2">
      <c r="B1133" s="597" t="s">
        <v>70</v>
      </c>
      <c r="C1133" s="597"/>
      <c r="D1133" s="597"/>
      <c r="E1133" s="597"/>
      <c r="F1133" s="597"/>
      <c r="G1133" s="597"/>
      <c r="H1133" s="597"/>
      <c r="I1133" s="597"/>
    </row>
    <row r="1134" spans="1:10" ht="15.95" customHeight="1" x14ac:dyDescent="0.2">
      <c r="B1134" s="96" t="s">
        <v>59</v>
      </c>
      <c r="C1134" s="182" t="s">
        <v>5</v>
      </c>
      <c r="D1134" s="40" t="s">
        <v>6</v>
      </c>
      <c r="E1134" s="42"/>
      <c r="F1134" s="42"/>
      <c r="G1134" s="42"/>
      <c r="H1134" s="40" t="s">
        <v>71</v>
      </c>
      <c r="I1134" s="43" t="s">
        <v>65</v>
      </c>
    </row>
    <row r="1135" spans="1:10" ht="15.95" customHeight="1" x14ac:dyDescent="0.2">
      <c r="B1135" s="84" t="s">
        <v>578</v>
      </c>
      <c r="C1135" s="146" t="s">
        <v>398</v>
      </c>
      <c r="D1135" s="83">
        <v>1</v>
      </c>
      <c r="E1135" s="50"/>
      <c r="F1135" s="50"/>
      <c r="G1135" s="50"/>
      <c r="H1135" s="56">
        <f>INSUMOS!E104</f>
        <v>2597.98</v>
      </c>
      <c r="I1135" s="87">
        <f>H1135*D1135</f>
        <v>2597.98</v>
      </c>
      <c r="J1135" s="51"/>
    </row>
    <row r="1136" spans="1:10" ht="15.95" customHeight="1" x14ac:dyDescent="0.2">
      <c r="B1136" s="172" t="s">
        <v>591</v>
      </c>
      <c r="C1136" s="47" t="s">
        <v>27</v>
      </c>
      <c r="D1136" s="71">
        <v>4</v>
      </c>
      <c r="E1136" s="46"/>
      <c r="F1136" s="46"/>
      <c r="G1136" s="46"/>
      <c r="H1136" s="56">
        <f>INSUMOS!E37</f>
        <v>9.51</v>
      </c>
      <c r="I1136" s="90">
        <f>H1136*D1136</f>
        <v>38.04</v>
      </c>
    </row>
    <row r="1137" spans="2:9" ht="33" customHeight="1" x14ac:dyDescent="0.2">
      <c r="B1137" s="172" t="s">
        <v>597</v>
      </c>
      <c r="C1137" s="146" t="s">
        <v>398</v>
      </c>
      <c r="D1137" s="419">
        <v>1</v>
      </c>
      <c r="E1137" s="238"/>
      <c r="F1137" s="238"/>
      <c r="G1137" s="238"/>
      <c r="H1137" s="239">
        <f>INSUMOS!E74</f>
        <v>19.829999999999998</v>
      </c>
      <c r="I1137" s="90">
        <f>H1137*D1137</f>
        <v>19.829999999999998</v>
      </c>
    </row>
    <row r="1138" spans="2:9" ht="25.5" x14ac:dyDescent="0.2">
      <c r="B1138" s="172" t="s">
        <v>598</v>
      </c>
      <c r="C1138" s="146" t="s">
        <v>398</v>
      </c>
      <c r="D1138" s="419">
        <v>4</v>
      </c>
      <c r="E1138" s="238"/>
      <c r="F1138" s="238"/>
      <c r="G1138" s="238"/>
      <c r="H1138" s="239">
        <f>INSUMOS!E75</f>
        <v>13.02</v>
      </c>
      <c r="I1138" s="90">
        <f>H1138*D1138</f>
        <v>52.08</v>
      </c>
    </row>
    <row r="1139" spans="2:9" ht="15.95" customHeight="1" x14ac:dyDescent="0.2">
      <c r="B1139" s="38" t="s">
        <v>592</v>
      </c>
      <c r="C1139" s="85" t="s">
        <v>398</v>
      </c>
      <c r="D1139" s="71">
        <v>2</v>
      </c>
      <c r="E1139" s="46"/>
      <c r="F1139" s="46"/>
      <c r="G1139" s="46"/>
      <c r="H1139" s="56">
        <f>INSUMOS!E72</f>
        <v>6.8</v>
      </c>
      <c r="I1139" s="90">
        <f>H1139*D1139</f>
        <v>13.6</v>
      </c>
    </row>
    <row r="1140" spans="2:9" ht="15.95" customHeight="1" x14ac:dyDescent="0.2">
      <c r="B1140" s="598" t="s">
        <v>69</v>
      </c>
      <c r="C1140" s="598"/>
      <c r="D1140" s="598"/>
      <c r="E1140" s="598"/>
      <c r="F1140" s="598"/>
      <c r="G1140" s="598"/>
      <c r="H1140" s="598"/>
      <c r="I1140" s="90">
        <f>SUM(I1135:I1136)</f>
        <v>2636.02</v>
      </c>
    </row>
    <row r="1141" spans="2:9" s="128" customFormat="1" ht="30" customHeight="1" x14ac:dyDescent="0.2">
      <c r="B1141" s="597" t="s">
        <v>72</v>
      </c>
      <c r="C1141" s="597"/>
      <c r="D1141" s="597"/>
      <c r="E1141" s="597"/>
      <c r="F1141" s="597"/>
      <c r="G1141" s="597"/>
      <c r="H1141" s="597"/>
      <c r="I1141" s="597"/>
    </row>
    <row r="1142" spans="2:9" x14ac:dyDescent="0.2">
      <c r="B1142" s="45" t="s">
        <v>59</v>
      </c>
      <c r="C1142" s="71" t="s">
        <v>5</v>
      </c>
      <c r="D1142" s="47" t="s">
        <v>6</v>
      </c>
      <c r="E1142" s="46"/>
      <c r="F1142" s="46"/>
      <c r="G1142" s="46"/>
      <c r="H1142" s="47" t="s">
        <v>71</v>
      </c>
      <c r="I1142" s="43" t="s">
        <v>65</v>
      </c>
    </row>
    <row r="1143" spans="2:9" x14ac:dyDescent="0.2">
      <c r="B1143" s="84"/>
      <c r="C1143" s="47"/>
      <c r="D1143" s="47"/>
      <c r="E1143" s="46"/>
      <c r="F1143" s="46"/>
      <c r="G1143" s="46"/>
      <c r="H1143" s="47"/>
      <c r="I1143" s="90">
        <f>D1143*H1143</f>
        <v>0</v>
      </c>
    </row>
    <row r="1144" spans="2:9" x14ac:dyDescent="0.2">
      <c r="B1144" s="598" t="s">
        <v>69</v>
      </c>
      <c r="C1144" s="598"/>
      <c r="D1144" s="598"/>
      <c r="E1144" s="598"/>
      <c r="F1144" s="598"/>
      <c r="G1144" s="598"/>
      <c r="H1144" s="598"/>
      <c r="I1144" s="90">
        <f>SUM(I1143:I1143)</f>
        <v>0</v>
      </c>
    </row>
    <row r="1145" spans="2:9" s="128" customFormat="1" ht="30" customHeight="1" x14ac:dyDescent="0.2">
      <c r="B1145" s="597" t="s">
        <v>74</v>
      </c>
      <c r="C1145" s="597"/>
      <c r="D1145" s="597"/>
      <c r="E1145" s="597"/>
      <c r="F1145" s="597"/>
      <c r="G1145" s="597"/>
      <c r="H1145" s="597"/>
      <c r="I1145" s="597"/>
    </row>
    <row r="1146" spans="2:9" ht="15.95" customHeight="1" x14ac:dyDescent="0.2">
      <c r="B1146" s="96" t="s">
        <v>59</v>
      </c>
      <c r="C1146" s="182" t="s">
        <v>5</v>
      </c>
      <c r="D1146" s="110" t="s">
        <v>6</v>
      </c>
      <c r="E1146" s="42"/>
      <c r="F1146" s="42"/>
      <c r="G1146" s="42"/>
      <c r="H1146" s="40" t="s">
        <v>71</v>
      </c>
      <c r="I1146" s="43" t="s">
        <v>65</v>
      </c>
    </row>
    <row r="1147" spans="2:9" ht="15.95" customHeight="1" x14ac:dyDescent="0.2">
      <c r="B1147" s="53" t="s">
        <v>75</v>
      </c>
      <c r="C1147" s="71" t="s">
        <v>67</v>
      </c>
      <c r="D1147" s="47">
        <v>8</v>
      </c>
      <c r="E1147" s="46"/>
      <c r="F1147" s="46"/>
      <c r="G1147" s="46"/>
      <c r="H1147" s="56">
        <f>INSUMOS!E14</f>
        <v>3.42</v>
      </c>
      <c r="I1147" s="90">
        <f>H1147*D1147</f>
        <v>27.36</v>
      </c>
    </row>
    <row r="1148" spans="2:9" ht="15.95" customHeight="1" x14ac:dyDescent="0.2">
      <c r="B1148" s="91" t="s">
        <v>121</v>
      </c>
      <c r="C1148" s="71" t="s">
        <v>67</v>
      </c>
      <c r="D1148" s="47">
        <v>8</v>
      </c>
      <c r="E1148" s="46"/>
      <c r="F1148" s="46"/>
      <c r="G1148" s="46"/>
      <c r="H1148" s="56">
        <f>INSUMOS!E24</f>
        <v>4.55</v>
      </c>
      <c r="I1148" s="90">
        <f>H1148*D1148</f>
        <v>36.4</v>
      </c>
    </row>
    <row r="1149" spans="2:9" ht="15.95" customHeight="1" x14ac:dyDescent="0.2">
      <c r="B1149" s="599" t="s">
        <v>641</v>
      </c>
      <c r="C1149" s="599"/>
      <c r="D1149" s="599"/>
      <c r="E1149" s="599"/>
      <c r="F1149" s="599"/>
      <c r="G1149" s="599"/>
      <c r="H1149" s="599"/>
      <c r="I1149" s="90">
        <f>SUM(I1147:I1148)*0.9103</f>
        <v>58.04</v>
      </c>
    </row>
    <row r="1150" spans="2:9" ht="15.95" customHeight="1" x14ac:dyDescent="0.2">
      <c r="B1150" s="598" t="s">
        <v>69</v>
      </c>
      <c r="C1150" s="598"/>
      <c r="D1150" s="598"/>
      <c r="E1150" s="598"/>
      <c r="F1150" s="598"/>
      <c r="G1150" s="598"/>
      <c r="H1150" s="598"/>
      <c r="I1150" s="95">
        <f>SUM(I1147:I1149)</f>
        <v>121.8</v>
      </c>
    </row>
    <row r="1151" spans="2:9" ht="15.95" customHeight="1" x14ac:dyDescent="0.2">
      <c r="B1151" s="148" t="s">
        <v>76</v>
      </c>
      <c r="C1151" s="149">
        <v>1</v>
      </c>
      <c r="D1151" s="671" t="s">
        <v>77</v>
      </c>
      <c r="E1151" s="672"/>
      <c r="F1151" s="672"/>
      <c r="G1151" s="672"/>
      <c r="H1151" s="673"/>
      <c r="I1151" s="95">
        <f>I1132+I1140+I1144+I1150</f>
        <v>2757.82</v>
      </c>
    </row>
    <row r="1152" spans="2:9" ht="15.95" customHeight="1" x14ac:dyDescent="0.2">
      <c r="B1152" s="593"/>
      <c r="C1152" s="594"/>
      <c r="D1152" s="594"/>
      <c r="E1152" s="594"/>
      <c r="F1152" s="594"/>
      <c r="G1152" s="594"/>
      <c r="H1152" s="595"/>
      <c r="I1152" s="95">
        <f>I1151/C1151</f>
        <v>2757.82</v>
      </c>
    </row>
    <row r="1153" spans="1:9" ht="15.95" customHeight="1" x14ac:dyDescent="0.2">
      <c r="B1153" s="140" t="s">
        <v>346</v>
      </c>
      <c r="C1153" s="146">
        <v>25</v>
      </c>
      <c r="D1153" s="147" t="s">
        <v>272</v>
      </c>
      <c r="E1153" s="137"/>
      <c r="F1153" s="137"/>
      <c r="G1153" s="137"/>
      <c r="H1153" s="138"/>
      <c r="I1153" s="90">
        <f>C1153/100*I1152</f>
        <v>689.46</v>
      </c>
    </row>
    <row r="1154" spans="1:9" ht="30" customHeight="1" thickBot="1" x14ac:dyDescent="0.25">
      <c r="B1154" s="596" t="s">
        <v>78</v>
      </c>
      <c r="C1154" s="596"/>
      <c r="D1154" s="596"/>
      <c r="E1154" s="596"/>
      <c r="F1154" s="596"/>
      <c r="G1154" s="596"/>
      <c r="H1154" s="596"/>
      <c r="I1154" s="136">
        <f>SUM(I1152:I1153)</f>
        <v>3447.28</v>
      </c>
    </row>
    <row r="1161" spans="1:9" ht="30" customHeight="1" x14ac:dyDescent="0.2">
      <c r="B1161" s="202" t="s">
        <v>55</v>
      </c>
      <c r="C1161" s="488" t="str">
        <f>INSTALAÇÃO!B32</f>
        <v>2.11</v>
      </c>
      <c r="D1161" s="665" t="s">
        <v>56</v>
      </c>
      <c r="E1161" s="665"/>
      <c r="F1161" s="665"/>
      <c r="G1161" s="665"/>
      <c r="H1161" s="665"/>
      <c r="I1161" s="665"/>
    </row>
    <row r="1162" spans="1:9" s="128" customFormat="1" ht="30" customHeight="1" x14ac:dyDescent="0.2">
      <c r="B1162" s="666" t="s">
        <v>344</v>
      </c>
      <c r="C1162" s="667"/>
      <c r="D1162" s="667"/>
      <c r="E1162" s="667"/>
      <c r="F1162" s="667"/>
      <c r="G1162" s="668"/>
      <c r="H1162" s="669" t="s">
        <v>568</v>
      </c>
      <c r="I1162" s="670"/>
    </row>
    <row r="1163" spans="1:9" ht="30" customHeight="1" x14ac:dyDescent="0.2">
      <c r="B1163" s="664" t="s">
        <v>609</v>
      </c>
      <c r="C1163" s="664"/>
      <c r="D1163" s="664"/>
      <c r="E1163" s="664"/>
      <c r="F1163" s="664"/>
      <c r="G1163" s="664"/>
      <c r="H1163" s="34" t="s">
        <v>57</v>
      </c>
      <c r="I1163" s="127" t="s">
        <v>27</v>
      </c>
    </row>
    <row r="1164" spans="1:9" s="128" customFormat="1" ht="30" customHeight="1" x14ac:dyDescent="0.2">
      <c r="B1164" s="597" t="s">
        <v>58</v>
      </c>
      <c r="C1164" s="597"/>
      <c r="D1164" s="597"/>
      <c r="E1164" s="597"/>
      <c r="F1164" s="597"/>
      <c r="G1164" s="597"/>
      <c r="H1164" s="597"/>
      <c r="I1164" s="597"/>
    </row>
    <row r="1165" spans="1:9" ht="25.5" x14ac:dyDescent="0.2">
      <c r="A1165" s="93"/>
      <c r="B1165" s="35" t="s">
        <v>59</v>
      </c>
      <c r="C1165" s="173" t="s">
        <v>5</v>
      </c>
      <c r="D1165" s="36" t="s">
        <v>6</v>
      </c>
      <c r="E1165" s="36" t="s">
        <v>61</v>
      </c>
      <c r="F1165" s="36" t="s">
        <v>62</v>
      </c>
      <c r="G1165" s="36" t="s">
        <v>63</v>
      </c>
      <c r="H1165" s="36" t="s">
        <v>64</v>
      </c>
      <c r="I1165" s="37" t="s">
        <v>65</v>
      </c>
    </row>
    <row r="1166" spans="1:9" ht="15.95" customHeight="1" x14ac:dyDescent="0.2">
      <c r="B1166" s="97"/>
      <c r="C1166" s="39"/>
      <c r="D1166" s="141"/>
      <c r="E1166" s="40"/>
      <c r="F1166" s="40"/>
      <c r="G1166" s="40"/>
      <c r="H1166" s="40"/>
      <c r="I1166" s="43">
        <f>H1166*D1166</f>
        <v>0</v>
      </c>
    </row>
    <row r="1167" spans="1:9" ht="15.95" customHeight="1" x14ac:dyDescent="0.2">
      <c r="B1167" s="598" t="s">
        <v>69</v>
      </c>
      <c r="C1167" s="598"/>
      <c r="D1167" s="598"/>
      <c r="E1167" s="598"/>
      <c r="F1167" s="598"/>
      <c r="G1167" s="598"/>
      <c r="H1167" s="598"/>
      <c r="I1167" s="95">
        <f>SUM(I1166:I1166)</f>
        <v>0</v>
      </c>
    </row>
    <row r="1168" spans="1:9" s="128" customFormat="1" ht="30" customHeight="1" x14ac:dyDescent="0.2">
      <c r="B1168" s="597" t="s">
        <v>70</v>
      </c>
      <c r="C1168" s="597"/>
      <c r="D1168" s="597"/>
      <c r="E1168" s="597"/>
      <c r="F1168" s="597"/>
      <c r="G1168" s="597"/>
      <c r="H1168" s="597"/>
      <c r="I1168" s="597"/>
    </row>
    <row r="1169" spans="2:12" ht="15.95" customHeight="1" x14ac:dyDescent="0.2">
      <c r="B1169" s="96" t="s">
        <v>59</v>
      </c>
      <c r="C1169" s="182" t="s">
        <v>5</v>
      </c>
      <c r="D1169" s="40" t="s">
        <v>6</v>
      </c>
      <c r="E1169" s="42"/>
      <c r="F1169" s="42"/>
      <c r="G1169" s="42"/>
      <c r="H1169" s="40" t="s">
        <v>71</v>
      </c>
      <c r="I1169" s="43" t="s">
        <v>65</v>
      </c>
    </row>
    <row r="1170" spans="2:12" ht="29.25" customHeight="1" x14ac:dyDescent="0.2">
      <c r="B1170" s="123" t="s">
        <v>145</v>
      </c>
      <c r="C1170" s="47" t="s">
        <v>32</v>
      </c>
      <c r="D1170" s="71">
        <v>7.0000000000000007E-2</v>
      </c>
      <c r="E1170" s="46"/>
      <c r="F1170" s="46"/>
      <c r="G1170" s="46"/>
      <c r="H1170" s="56">
        <f>INSUMOS!E64</f>
        <v>33.6</v>
      </c>
      <c r="I1170" s="90">
        <f>H1170*D1170</f>
        <v>2.35</v>
      </c>
      <c r="K1170" s="33">
        <v>4111</v>
      </c>
    </row>
    <row r="1171" spans="2:12" ht="42" customHeight="1" x14ac:dyDescent="0.2">
      <c r="B1171" s="123" t="s">
        <v>146</v>
      </c>
      <c r="C1171" s="85" t="s">
        <v>398</v>
      </c>
      <c r="D1171" s="71">
        <v>0.34</v>
      </c>
      <c r="E1171" s="46"/>
      <c r="F1171" s="46"/>
      <c r="G1171" s="46"/>
      <c r="H1171" s="56">
        <f>INSUMOS!E61</f>
        <v>34.56</v>
      </c>
      <c r="I1171" s="90">
        <f t="shared" ref="I1171:I1176" si="2">H1171*D1171</f>
        <v>11.75</v>
      </c>
      <c r="K1171" s="33">
        <v>4114</v>
      </c>
    </row>
    <row r="1172" spans="2:12" ht="15.95" customHeight="1" x14ac:dyDescent="0.2">
      <c r="B1172" s="97" t="s">
        <v>147</v>
      </c>
      <c r="C1172" s="47" t="s">
        <v>27</v>
      </c>
      <c r="D1172" s="71">
        <v>10.28</v>
      </c>
      <c r="E1172" s="46"/>
      <c r="F1172" s="46"/>
      <c r="G1172" s="46"/>
      <c r="H1172" s="56">
        <f>INSUMOS!E65</f>
        <v>0.34</v>
      </c>
      <c r="I1172" s="90">
        <f t="shared" si="2"/>
        <v>3.5</v>
      </c>
      <c r="K1172" s="33">
        <v>340</v>
      </c>
      <c r="L1172" s="104"/>
    </row>
    <row r="1173" spans="2:12" ht="15.95" customHeight="1" x14ac:dyDescent="0.2">
      <c r="B1173" s="174" t="s">
        <v>148</v>
      </c>
      <c r="C1173" s="47" t="s">
        <v>27</v>
      </c>
      <c r="D1173" s="71">
        <v>0.11</v>
      </c>
      <c r="E1173" s="46"/>
      <c r="F1173" s="46"/>
      <c r="G1173" s="46"/>
      <c r="H1173" s="56">
        <f>INSUMOS!E66</f>
        <v>8.36</v>
      </c>
      <c r="I1173" s="90">
        <f t="shared" si="2"/>
        <v>0.92</v>
      </c>
      <c r="K1173" s="33">
        <v>345</v>
      </c>
    </row>
    <row r="1174" spans="2:12" ht="15.95" customHeight="1" x14ac:dyDescent="0.2">
      <c r="B1174" s="103" t="s">
        <v>149</v>
      </c>
      <c r="C1174" s="47" t="s">
        <v>32</v>
      </c>
      <c r="D1174" s="71">
        <v>0.01</v>
      </c>
      <c r="E1174" s="46"/>
      <c r="F1174" s="46"/>
      <c r="G1174" s="47"/>
      <c r="H1174" s="56">
        <f>INSUMOS!E47</f>
        <v>70</v>
      </c>
      <c r="I1174" s="90">
        <f t="shared" si="2"/>
        <v>0.7</v>
      </c>
    </row>
    <row r="1175" spans="2:12" ht="15.95" customHeight="1" x14ac:dyDescent="0.2">
      <c r="B1175" s="103" t="s">
        <v>150</v>
      </c>
      <c r="C1175" s="47" t="s">
        <v>172</v>
      </c>
      <c r="D1175" s="71">
        <v>1.8</v>
      </c>
      <c r="E1175" s="46"/>
      <c r="F1175" s="46"/>
      <c r="G1175" s="47"/>
      <c r="H1175" s="56">
        <f>INSUMOS!E41</f>
        <v>0.48</v>
      </c>
      <c r="I1175" s="90">
        <f t="shared" si="2"/>
        <v>0.86</v>
      </c>
    </row>
    <row r="1176" spans="2:12" ht="15.95" customHeight="1" x14ac:dyDescent="0.2">
      <c r="B1176" s="38" t="s">
        <v>151</v>
      </c>
      <c r="C1176" s="47" t="s">
        <v>32</v>
      </c>
      <c r="D1176" s="71">
        <v>0.01</v>
      </c>
      <c r="E1176" s="46"/>
      <c r="F1176" s="46"/>
      <c r="G1176" s="46"/>
      <c r="H1176" s="56">
        <f>INSUMOS!E42</f>
        <v>68.13</v>
      </c>
      <c r="I1176" s="90">
        <f t="shared" si="2"/>
        <v>0.68</v>
      </c>
    </row>
    <row r="1177" spans="2:12" ht="15.95" customHeight="1" x14ac:dyDescent="0.2">
      <c r="B1177" s="598" t="s">
        <v>69</v>
      </c>
      <c r="C1177" s="598"/>
      <c r="D1177" s="598"/>
      <c r="E1177" s="598"/>
      <c r="F1177" s="598"/>
      <c r="G1177" s="598"/>
      <c r="H1177" s="598"/>
      <c r="I1177" s="90">
        <f>SUM(I1170:I1176)</f>
        <v>20.76</v>
      </c>
    </row>
    <row r="1178" spans="2:12" s="128" customFormat="1" ht="30" customHeight="1" x14ac:dyDescent="0.2">
      <c r="B1178" s="597" t="s">
        <v>72</v>
      </c>
      <c r="C1178" s="597"/>
      <c r="D1178" s="597"/>
      <c r="E1178" s="597"/>
      <c r="F1178" s="597"/>
      <c r="G1178" s="597"/>
      <c r="H1178" s="597"/>
      <c r="I1178" s="597"/>
    </row>
    <row r="1179" spans="2:12" x14ac:dyDescent="0.2">
      <c r="B1179" s="45" t="s">
        <v>59</v>
      </c>
      <c r="C1179" s="71" t="s">
        <v>5</v>
      </c>
      <c r="D1179" s="47" t="s">
        <v>6</v>
      </c>
      <c r="E1179" s="46"/>
      <c r="F1179" s="46"/>
      <c r="G1179" s="46"/>
      <c r="H1179" s="47" t="s">
        <v>71</v>
      </c>
      <c r="I1179" s="43" t="s">
        <v>65</v>
      </c>
    </row>
    <row r="1180" spans="2:12" x14ac:dyDescent="0.2">
      <c r="B1180" s="84"/>
      <c r="C1180" s="47"/>
      <c r="D1180" s="47"/>
      <c r="E1180" s="46"/>
      <c r="F1180" s="46"/>
      <c r="G1180" s="46"/>
      <c r="H1180" s="47"/>
      <c r="I1180" s="90">
        <f>D1180*H1180</f>
        <v>0</v>
      </c>
    </row>
    <row r="1181" spans="2:12" x14ac:dyDescent="0.2">
      <c r="B1181" s="598" t="s">
        <v>69</v>
      </c>
      <c r="C1181" s="598"/>
      <c r="D1181" s="598"/>
      <c r="E1181" s="598"/>
      <c r="F1181" s="598"/>
      <c r="G1181" s="598"/>
      <c r="H1181" s="598"/>
      <c r="I1181" s="90">
        <f>SUM(I1180:I1180)</f>
        <v>0</v>
      </c>
    </row>
    <row r="1182" spans="2:12" s="128" customFormat="1" ht="30" customHeight="1" x14ac:dyDescent="0.2">
      <c r="B1182" s="597" t="s">
        <v>74</v>
      </c>
      <c r="C1182" s="597"/>
      <c r="D1182" s="597"/>
      <c r="E1182" s="597"/>
      <c r="F1182" s="597"/>
      <c r="G1182" s="597"/>
      <c r="H1182" s="597"/>
      <c r="I1182" s="597"/>
    </row>
    <row r="1183" spans="2:12" ht="15.95" customHeight="1" x14ac:dyDescent="0.2">
      <c r="B1183" s="96" t="s">
        <v>59</v>
      </c>
      <c r="C1183" s="182" t="s">
        <v>5</v>
      </c>
      <c r="D1183" s="110" t="s">
        <v>6</v>
      </c>
      <c r="E1183" s="42"/>
      <c r="F1183" s="42"/>
      <c r="G1183" s="42"/>
      <c r="H1183" s="40" t="s">
        <v>71</v>
      </c>
      <c r="I1183" s="43" t="s">
        <v>65</v>
      </c>
    </row>
    <row r="1184" spans="2:12" ht="15.95" customHeight="1" x14ac:dyDescent="0.2">
      <c r="B1184" s="53" t="s">
        <v>75</v>
      </c>
      <c r="C1184" s="57" t="s">
        <v>67</v>
      </c>
      <c r="D1184" s="40">
        <v>0.38</v>
      </c>
      <c r="E1184" s="42"/>
      <c r="F1184" s="42"/>
      <c r="G1184" s="42"/>
      <c r="H1184" s="52">
        <f>INSUMOS!E14</f>
        <v>3.42</v>
      </c>
      <c r="I1184" s="43">
        <f>H1184*D1184</f>
        <v>1.3</v>
      </c>
      <c r="K1184" s="33">
        <v>6111</v>
      </c>
    </row>
    <row r="1185" spans="2:11" ht="15.95" customHeight="1" x14ac:dyDescent="0.2">
      <c r="B1185" s="77" t="s">
        <v>152</v>
      </c>
      <c r="C1185" s="57" t="s">
        <v>67</v>
      </c>
      <c r="D1185" s="40">
        <v>0.4</v>
      </c>
      <c r="E1185" s="42"/>
      <c r="F1185" s="42"/>
      <c r="G1185" s="42"/>
      <c r="H1185" s="52">
        <f>INSUMOS!E19</f>
        <v>4.55</v>
      </c>
      <c r="I1185" s="43">
        <f>H1185*D1185</f>
        <v>1.82</v>
      </c>
      <c r="K1185" s="33">
        <v>4750</v>
      </c>
    </row>
    <row r="1186" spans="2:11" ht="15.95" customHeight="1" x14ac:dyDescent="0.2">
      <c r="B1186" s="599" t="s">
        <v>641</v>
      </c>
      <c r="C1186" s="599"/>
      <c r="D1186" s="599"/>
      <c r="E1186" s="599"/>
      <c r="F1186" s="599"/>
      <c r="G1186" s="599"/>
      <c r="H1186" s="599"/>
      <c r="I1186" s="90">
        <f>SUM(I1184:I1185)*0.9103</f>
        <v>2.84</v>
      </c>
    </row>
    <row r="1187" spans="2:11" ht="15.95" customHeight="1" x14ac:dyDescent="0.2">
      <c r="B1187" s="598" t="s">
        <v>69</v>
      </c>
      <c r="C1187" s="598"/>
      <c r="D1187" s="598"/>
      <c r="E1187" s="598"/>
      <c r="F1187" s="598"/>
      <c r="G1187" s="598"/>
      <c r="H1187" s="598"/>
      <c r="I1187" s="92">
        <f>SUM(I1184:I1186)</f>
        <v>5.96</v>
      </c>
    </row>
    <row r="1188" spans="2:11" ht="15.95" customHeight="1" x14ac:dyDescent="0.2">
      <c r="B1188" s="148" t="s">
        <v>76</v>
      </c>
      <c r="C1188" s="149">
        <v>1.07</v>
      </c>
      <c r="D1188" s="671" t="s">
        <v>77</v>
      </c>
      <c r="E1188" s="672"/>
      <c r="F1188" s="672"/>
      <c r="G1188" s="672"/>
      <c r="H1188" s="673"/>
      <c r="I1188" s="92">
        <f>I1167+I1177+I1181+I1187</f>
        <v>26.72</v>
      </c>
    </row>
    <row r="1189" spans="2:11" ht="15.95" customHeight="1" x14ac:dyDescent="0.2">
      <c r="B1189" s="593"/>
      <c r="C1189" s="594"/>
      <c r="D1189" s="594"/>
      <c r="E1189" s="594"/>
      <c r="F1189" s="594"/>
      <c r="G1189" s="594"/>
      <c r="H1189" s="595"/>
      <c r="I1189" s="92">
        <f>I1188/C1188</f>
        <v>24.97</v>
      </c>
      <c r="J1189" s="33">
        <v>24.25</v>
      </c>
    </row>
    <row r="1190" spans="2:11" ht="15.95" customHeight="1" x14ac:dyDescent="0.2">
      <c r="B1190" s="140" t="s">
        <v>346</v>
      </c>
      <c r="C1190" s="146">
        <v>25</v>
      </c>
      <c r="D1190" s="147" t="s">
        <v>272</v>
      </c>
      <c r="E1190" s="137"/>
      <c r="F1190" s="137"/>
      <c r="G1190" s="137"/>
      <c r="H1190" s="138"/>
      <c r="I1190" s="90">
        <f>C1190/100*I1189</f>
        <v>6.24</v>
      </c>
    </row>
    <row r="1191" spans="2:11" s="128" customFormat="1" ht="30" customHeight="1" thickBot="1" x14ac:dyDescent="0.25">
      <c r="B1191" s="596" t="s">
        <v>78</v>
      </c>
      <c r="C1191" s="596"/>
      <c r="D1191" s="596"/>
      <c r="E1191" s="596"/>
      <c r="F1191" s="596"/>
      <c r="G1191" s="596"/>
      <c r="H1191" s="596"/>
      <c r="I1191" s="136">
        <f>SUM(I1189:I1190)</f>
        <v>31.21</v>
      </c>
    </row>
    <row r="1198" spans="2:11" ht="13.5" thickBot="1" x14ac:dyDescent="0.25"/>
    <row r="1199" spans="2:11" s="337" customFormat="1" ht="30" customHeight="1" x14ac:dyDescent="0.2">
      <c r="B1199" s="338" t="s">
        <v>55</v>
      </c>
      <c r="C1199" s="339" t="str">
        <f>INSTALAÇÃO!B33</f>
        <v>2.12</v>
      </c>
      <c r="D1199" s="619" t="s">
        <v>56</v>
      </c>
      <c r="E1199" s="619"/>
      <c r="F1199" s="619"/>
      <c r="G1199" s="619"/>
      <c r="H1199" s="619"/>
      <c r="I1199" s="620"/>
      <c r="J1199" s="340"/>
    </row>
    <row r="1200" spans="2:11" s="337" customFormat="1" ht="30" customHeight="1" x14ac:dyDescent="0.2">
      <c r="B1200" s="621" t="s">
        <v>459</v>
      </c>
      <c r="C1200" s="622"/>
      <c r="D1200" s="622"/>
      <c r="E1200" s="622"/>
      <c r="F1200" s="622"/>
      <c r="G1200" s="623"/>
      <c r="H1200" s="624" t="s">
        <v>583</v>
      </c>
      <c r="I1200" s="625"/>
      <c r="J1200" s="340"/>
    </row>
    <row r="1201" spans="2:12" s="337" customFormat="1" ht="30" customHeight="1" x14ac:dyDescent="0.2">
      <c r="B1201" s="626" t="s">
        <v>477</v>
      </c>
      <c r="C1201" s="627"/>
      <c r="D1201" s="627"/>
      <c r="E1201" s="627"/>
      <c r="F1201" s="627"/>
      <c r="G1201" s="628"/>
      <c r="H1201" s="341" t="s">
        <v>57</v>
      </c>
      <c r="I1201" s="342" t="s">
        <v>398</v>
      </c>
      <c r="J1201" s="600"/>
      <c r="K1201" s="600"/>
    </row>
    <row r="1202" spans="2:12" s="337" customFormat="1" ht="30" customHeight="1" x14ac:dyDescent="0.2">
      <c r="B1202" s="601" t="s">
        <v>58</v>
      </c>
      <c r="C1202" s="602"/>
      <c r="D1202" s="602"/>
      <c r="E1202" s="602"/>
      <c r="F1202" s="602"/>
      <c r="G1202" s="602"/>
      <c r="H1202" s="602"/>
      <c r="I1202" s="603"/>
      <c r="J1202" s="600"/>
      <c r="K1202" s="600"/>
    </row>
    <row r="1203" spans="2:12" s="337" customFormat="1" ht="25.5" x14ac:dyDescent="0.2">
      <c r="B1203" s="343" t="s">
        <v>59</v>
      </c>
      <c r="C1203" s="36" t="s">
        <v>60</v>
      </c>
      <c r="D1203" s="344" t="s">
        <v>6</v>
      </c>
      <c r="E1203" s="345" t="s">
        <v>61</v>
      </c>
      <c r="F1203" s="345" t="s">
        <v>62</v>
      </c>
      <c r="G1203" s="346" t="s">
        <v>63</v>
      </c>
      <c r="H1203" s="346" t="s">
        <v>64</v>
      </c>
      <c r="I1203" s="347" t="s">
        <v>65</v>
      </c>
      <c r="J1203" s="600"/>
      <c r="K1203" s="600"/>
    </row>
    <row r="1204" spans="2:12" s="348" customFormat="1" x14ac:dyDescent="0.2">
      <c r="B1204" s="349"/>
      <c r="C1204" s="350"/>
      <c r="D1204" s="351"/>
      <c r="E1204" s="352"/>
      <c r="F1204" s="353"/>
      <c r="G1204" s="354"/>
      <c r="H1204" s="355"/>
      <c r="I1204" s="354">
        <f>D1204*G1204</f>
        <v>0</v>
      </c>
      <c r="J1204" s="122"/>
      <c r="L1204" s="356"/>
    </row>
    <row r="1205" spans="2:12" s="348" customFormat="1" ht="15" customHeight="1" x14ac:dyDescent="0.2">
      <c r="B1205" s="604" t="s">
        <v>69</v>
      </c>
      <c r="C1205" s="605"/>
      <c r="D1205" s="605"/>
      <c r="E1205" s="605"/>
      <c r="F1205" s="605"/>
      <c r="G1205" s="605"/>
      <c r="H1205" s="605"/>
      <c r="I1205" s="357">
        <f>SUM(I1204:I1204)</f>
        <v>0</v>
      </c>
      <c r="J1205" s="122"/>
    </row>
    <row r="1206" spans="2:12" s="337" customFormat="1" ht="30" customHeight="1" x14ac:dyDescent="0.2">
      <c r="B1206" s="601" t="s">
        <v>70</v>
      </c>
      <c r="C1206" s="602"/>
      <c r="D1206" s="602"/>
      <c r="E1206" s="602"/>
      <c r="F1206" s="602"/>
      <c r="G1206" s="602"/>
      <c r="H1206" s="602"/>
      <c r="I1206" s="603"/>
      <c r="J1206" s="340"/>
      <c r="K1206" s="358"/>
    </row>
    <row r="1207" spans="2:12" s="337" customFormat="1" ht="14.1" customHeight="1" x14ac:dyDescent="0.2">
      <c r="B1207" s="359" t="s">
        <v>59</v>
      </c>
      <c r="C1207" s="36" t="s">
        <v>60</v>
      </c>
      <c r="D1207" s="360" t="s">
        <v>6</v>
      </c>
      <c r="E1207" s="361"/>
      <c r="F1207" s="361"/>
      <c r="G1207" s="361"/>
      <c r="H1207" s="350" t="s">
        <v>71</v>
      </c>
      <c r="I1207" s="362" t="s">
        <v>65</v>
      </c>
      <c r="J1207" s="340"/>
    </row>
    <row r="1208" spans="2:12" s="337" customFormat="1" ht="25.5" x14ac:dyDescent="0.2">
      <c r="B1208" s="349" t="s">
        <v>487</v>
      </c>
      <c r="C1208" s="169" t="s">
        <v>88</v>
      </c>
      <c r="D1208" s="364">
        <v>17</v>
      </c>
      <c r="E1208" s="365"/>
      <c r="F1208" s="365"/>
      <c r="G1208" s="365"/>
      <c r="H1208" s="366">
        <f>INSUMOS!E133</f>
        <v>3.96</v>
      </c>
      <c r="I1208" s="367">
        <f>D1208*H1208</f>
        <v>67.319999999999993</v>
      </c>
      <c r="J1208" s="340"/>
      <c r="K1208" s="368">
        <f>1.8*1.1</f>
        <v>1.98</v>
      </c>
    </row>
    <row r="1209" spans="2:12" s="337" customFormat="1" ht="15" customHeight="1" x14ac:dyDescent="0.2">
      <c r="B1209" s="369" t="s">
        <v>488</v>
      </c>
      <c r="C1209" s="370" t="s">
        <v>27</v>
      </c>
      <c r="D1209" s="371">
        <v>7.4</v>
      </c>
      <c r="E1209" s="372"/>
      <c r="F1209" s="372"/>
      <c r="G1209" s="372"/>
      <c r="H1209" s="366">
        <f>INSUMOS!E134</f>
        <v>15</v>
      </c>
      <c r="I1209" s="367">
        <f>D1209*H1209</f>
        <v>111</v>
      </c>
      <c r="J1209" s="340"/>
      <c r="K1209" s="368"/>
    </row>
    <row r="1210" spans="2:12" s="337" customFormat="1" ht="15" customHeight="1" x14ac:dyDescent="0.2">
      <c r="B1210" s="369" t="s">
        <v>489</v>
      </c>
      <c r="C1210" s="169" t="s">
        <v>398</v>
      </c>
      <c r="D1210" s="371">
        <v>1</v>
      </c>
      <c r="E1210" s="372"/>
      <c r="F1210" s="372"/>
      <c r="G1210" s="372"/>
      <c r="H1210" s="366">
        <f>INSUMOS!E135</f>
        <v>21.33</v>
      </c>
      <c r="I1210" s="367">
        <f>D1210*H1210</f>
        <v>21.33</v>
      </c>
      <c r="J1210" s="340"/>
      <c r="K1210" s="368"/>
    </row>
    <row r="1211" spans="2:12" s="337" customFormat="1" ht="25.5" x14ac:dyDescent="0.2">
      <c r="B1211" s="369" t="s">
        <v>490</v>
      </c>
      <c r="C1211" s="370" t="s">
        <v>85</v>
      </c>
      <c r="D1211" s="371">
        <v>1.98</v>
      </c>
      <c r="E1211" s="372"/>
      <c r="F1211" s="372"/>
      <c r="G1211" s="372"/>
      <c r="H1211" s="366">
        <f>INSUMOS!E136</f>
        <v>49.42</v>
      </c>
      <c r="I1211" s="367">
        <f>D1211*H1211</f>
        <v>97.85</v>
      </c>
      <c r="J1211" s="340"/>
      <c r="K1211" s="368"/>
    </row>
    <row r="1212" spans="2:12" s="337" customFormat="1" ht="15" customHeight="1" x14ac:dyDescent="0.2">
      <c r="B1212" s="606" t="s">
        <v>69</v>
      </c>
      <c r="C1212" s="607"/>
      <c r="D1212" s="607"/>
      <c r="E1212" s="607"/>
      <c r="F1212" s="607"/>
      <c r="G1212" s="607"/>
      <c r="H1212" s="607"/>
      <c r="I1212" s="367">
        <f>SUM(I1208:I1211)</f>
        <v>297.5</v>
      </c>
      <c r="J1212" s="340"/>
    </row>
    <row r="1213" spans="2:12" s="337" customFormat="1" ht="30" customHeight="1" x14ac:dyDescent="0.2">
      <c r="B1213" s="601" t="s">
        <v>72</v>
      </c>
      <c r="C1213" s="602"/>
      <c r="D1213" s="602"/>
      <c r="E1213" s="602"/>
      <c r="F1213" s="602"/>
      <c r="G1213" s="602"/>
      <c r="H1213" s="602"/>
      <c r="I1213" s="603"/>
      <c r="J1213" s="340"/>
    </row>
    <row r="1214" spans="2:12" s="337" customFormat="1" ht="15" customHeight="1" x14ac:dyDescent="0.2">
      <c r="B1214" s="374" t="s">
        <v>59</v>
      </c>
      <c r="C1214" s="36" t="s">
        <v>60</v>
      </c>
      <c r="D1214" s="350" t="s">
        <v>6</v>
      </c>
      <c r="E1214" s="375"/>
      <c r="F1214" s="375"/>
      <c r="G1214" s="375"/>
      <c r="H1214" s="350" t="s">
        <v>71</v>
      </c>
      <c r="I1214" s="367" t="s">
        <v>65</v>
      </c>
      <c r="J1214" s="340"/>
    </row>
    <row r="1215" spans="2:12" s="337" customFormat="1" ht="38.25" x14ac:dyDescent="0.2">
      <c r="B1215" s="395" t="s">
        <v>478</v>
      </c>
      <c r="C1215" s="350" t="s">
        <v>32</v>
      </c>
      <c r="D1215" s="377">
        <v>0.27</v>
      </c>
      <c r="E1215" s="375"/>
      <c r="F1215" s="375"/>
      <c r="G1215" s="375"/>
      <c r="H1215" s="373">
        <f>I653</f>
        <v>455.59</v>
      </c>
      <c r="I1215" s="367">
        <f>D1215*H1215</f>
        <v>123.01</v>
      </c>
      <c r="J1215" s="340"/>
    </row>
    <row r="1216" spans="2:12" s="337" customFormat="1" ht="15" customHeight="1" x14ac:dyDescent="0.2">
      <c r="B1216" s="394" t="s">
        <v>479</v>
      </c>
      <c r="C1216" s="350" t="s">
        <v>85</v>
      </c>
      <c r="D1216" s="377">
        <v>3.9</v>
      </c>
      <c r="E1216" s="375"/>
      <c r="F1216" s="375"/>
      <c r="G1216" s="375"/>
      <c r="H1216" s="373">
        <f>I1258</f>
        <v>5.63</v>
      </c>
      <c r="I1216" s="367">
        <f>D1216*H1216</f>
        <v>21.96</v>
      </c>
      <c r="J1216" s="340"/>
    </row>
    <row r="1217" spans="2:10" s="337" customFormat="1" ht="15" customHeight="1" x14ac:dyDescent="0.2">
      <c r="B1217" s="394" t="s">
        <v>483</v>
      </c>
      <c r="C1217" s="350" t="s">
        <v>32</v>
      </c>
      <c r="D1217" s="377">
        <f>1.5*0.3*0.3</f>
        <v>0.13500000000000001</v>
      </c>
      <c r="E1217" s="375"/>
      <c r="F1217" s="375"/>
      <c r="G1217" s="375"/>
      <c r="H1217" s="373">
        <f>I1051</f>
        <v>16.98</v>
      </c>
      <c r="I1217" s="367">
        <f>D1217*H1217</f>
        <v>2.29</v>
      </c>
      <c r="J1217" s="340"/>
    </row>
    <row r="1218" spans="2:10" s="337" customFormat="1" ht="15" customHeight="1" x14ac:dyDescent="0.2">
      <c r="B1218" s="394" t="s">
        <v>484</v>
      </c>
      <c r="C1218" s="350" t="s">
        <v>85</v>
      </c>
      <c r="D1218" s="377">
        <v>3.4</v>
      </c>
      <c r="E1218" s="375"/>
      <c r="F1218" s="375"/>
      <c r="G1218" s="375"/>
      <c r="H1218" s="373">
        <f>I1289</f>
        <v>9.31</v>
      </c>
      <c r="I1218" s="367">
        <f>D1218*H1218</f>
        <v>31.65</v>
      </c>
      <c r="J1218" s="340"/>
    </row>
    <row r="1219" spans="2:10" s="337" customFormat="1" ht="15" customHeight="1" x14ac:dyDescent="0.2">
      <c r="B1219" s="608" t="s">
        <v>69</v>
      </c>
      <c r="C1219" s="609"/>
      <c r="D1219" s="609"/>
      <c r="E1219" s="609"/>
      <c r="F1219" s="609"/>
      <c r="G1219" s="609"/>
      <c r="H1219" s="609"/>
      <c r="I1219" s="367">
        <f>SUM(I1215:I1218)</f>
        <v>178.91</v>
      </c>
      <c r="J1219" s="340"/>
    </row>
    <row r="1220" spans="2:10" s="337" customFormat="1" ht="30" customHeight="1" x14ac:dyDescent="0.2">
      <c r="B1220" s="601" t="s">
        <v>74</v>
      </c>
      <c r="C1220" s="602"/>
      <c r="D1220" s="602"/>
      <c r="E1220" s="602"/>
      <c r="F1220" s="602"/>
      <c r="G1220" s="602"/>
      <c r="H1220" s="602"/>
      <c r="I1220" s="603"/>
      <c r="J1220" s="340"/>
    </row>
    <row r="1221" spans="2:10" s="337" customFormat="1" ht="14.1" customHeight="1" x14ac:dyDescent="0.2">
      <c r="B1221" s="378" t="s">
        <v>59</v>
      </c>
      <c r="C1221" s="36" t="s">
        <v>60</v>
      </c>
      <c r="D1221" s="379" t="s">
        <v>6</v>
      </c>
      <c r="E1221" s="365"/>
      <c r="F1221" s="365"/>
      <c r="G1221" s="365"/>
      <c r="H1221" s="350" t="s">
        <v>71</v>
      </c>
      <c r="I1221" s="362" t="s">
        <v>65</v>
      </c>
      <c r="J1221" s="340"/>
    </row>
    <row r="1222" spans="2:10" s="337" customFormat="1" ht="14.1" customHeight="1" x14ac:dyDescent="0.2">
      <c r="B1222" s="380" t="s">
        <v>152</v>
      </c>
      <c r="C1222" s="381" t="s">
        <v>67</v>
      </c>
      <c r="D1222" s="382">
        <v>5.78</v>
      </c>
      <c r="E1222" s="365"/>
      <c r="F1222" s="365"/>
      <c r="G1222" s="365"/>
      <c r="H1222" s="366">
        <f>INSUMOS!E19</f>
        <v>4.55</v>
      </c>
      <c r="I1222" s="367">
        <f>D1222*H1222</f>
        <v>26.3</v>
      </c>
      <c r="J1222" s="340"/>
    </row>
    <row r="1223" spans="2:10" s="337" customFormat="1" ht="14.1" customHeight="1" x14ac:dyDescent="0.2">
      <c r="B1223" s="380" t="s">
        <v>75</v>
      </c>
      <c r="C1223" s="381" t="s">
        <v>67</v>
      </c>
      <c r="D1223" s="382">
        <v>2.89</v>
      </c>
      <c r="E1223" s="365"/>
      <c r="F1223" s="365"/>
      <c r="G1223" s="365"/>
      <c r="H1223" s="366">
        <f>INSUMOS!E14</f>
        <v>3.42</v>
      </c>
      <c r="I1223" s="367">
        <f>D1223*H1223</f>
        <v>9.8800000000000008</v>
      </c>
      <c r="J1223" s="340"/>
    </row>
    <row r="1224" spans="2:10" s="337" customFormat="1" ht="14.1" customHeight="1" x14ac:dyDescent="0.2">
      <c r="B1224" s="599" t="s">
        <v>641</v>
      </c>
      <c r="C1224" s="599"/>
      <c r="D1224" s="599"/>
      <c r="E1224" s="599"/>
      <c r="F1224" s="599"/>
      <c r="G1224" s="599"/>
      <c r="H1224" s="599"/>
      <c r="I1224" s="357">
        <f>SUM(I1222:I1223)*0.9103</f>
        <v>32.93</v>
      </c>
      <c r="J1224" s="340"/>
    </row>
    <row r="1225" spans="2:10" s="337" customFormat="1" ht="14.1" customHeight="1" x14ac:dyDescent="0.2">
      <c r="B1225" s="608" t="s">
        <v>69</v>
      </c>
      <c r="C1225" s="609"/>
      <c r="D1225" s="609"/>
      <c r="E1225" s="609"/>
      <c r="F1225" s="609"/>
      <c r="G1225" s="609"/>
      <c r="H1225" s="609"/>
      <c r="I1225" s="357">
        <f>SUM(I1222:I1224)</f>
        <v>69.11</v>
      </c>
      <c r="J1225" s="340"/>
    </row>
    <row r="1226" spans="2:10" s="337" customFormat="1" ht="14.1" customHeight="1" x14ac:dyDescent="0.2">
      <c r="B1226" s="383" t="s">
        <v>76</v>
      </c>
      <c r="C1226" s="384">
        <v>1</v>
      </c>
      <c r="D1226" s="609" t="s">
        <v>77</v>
      </c>
      <c r="E1226" s="609"/>
      <c r="F1226" s="609"/>
      <c r="G1226" s="609"/>
      <c r="H1226" s="609"/>
      <c r="I1226" s="357">
        <f>I1225+I1219+I1212+I1205</f>
        <v>545.52</v>
      </c>
      <c r="J1226" s="340"/>
    </row>
    <row r="1227" spans="2:10" s="337" customFormat="1" ht="14.1" customHeight="1" x14ac:dyDescent="0.2">
      <c r="B1227" s="610" t="s">
        <v>463</v>
      </c>
      <c r="C1227" s="611"/>
      <c r="D1227" s="612"/>
      <c r="E1227" s="612"/>
      <c r="F1227" s="612"/>
      <c r="G1227" s="612"/>
      <c r="H1227" s="612"/>
      <c r="I1227" s="367">
        <f>I1226/C1226</f>
        <v>545.52</v>
      </c>
      <c r="J1227" s="340">
        <v>794.24</v>
      </c>
    </row>
    <row r="1228" spans="2:10" s="337" customFormat="1" ht="14.1" customHeight="1" x14ac:dyDescent="0.2">
      <c r="B1228" s="385" t="s">
        <v>464</v>
      </c>
      <c r="C1228" s="386">
        <v>25</v>
      </c>
      <c r="D1228" s="613" t="s">
        <v>272</v>
      </c>
      <c r="E1228" s="614"/>
      <c r="F1228" s="614"/>
      <c r="G1228" s="614"/>
      <c r="H1228" s="615"/>
      <c r="I1228" s="367">
        <f>I1227/100*C1228</f>
        <v>136.38</v>
      </c>
      <c r="J1228" s="340"/>
    </row>
    <row r="1229" spans="2:10" s="337" customFormat="1" ht="30" customHeight="1" thickBot="1" x14ac:dyDescent="0.25">
      <c r="B1229" s="616" t="s">
        <v>78</v>
      </c>
      <c r="C1229" s="617"/>
      <c r="D1229" s="617"/>
      <c r="E1229" s="617"/>
      <c r="F1229" s="617"/>
      <c r="G1229" s="617"/>
      <c r="H1229" s="618"/>
      <c r="I1229" s="136">
        <f>SUM(I1227:I1228)</f>
        <v>681.9</v>
      </c>
      <c r="J1229" s="340"/>
    </row>
    <row r="1234" spans="2:12" ht="13.5" thickBot="1" x14ac:dyDescent="0.25"/>
    <row r="1235" spans="2:12" s="337" customFormat="1" ht="30" customHeight="1" x14ac:dyDescent="0.2">
      <c r="B1235" s="338" t="s">
        <v>55</v>
      </c>
      <c r="C1235" s="339" t="s">
        <v>589</v>
      </c>
      <c r="D1235" s="619" t="s">
        <v>56</v>
      </c>
      <c r="E1235" s="619"/>
      <c r="F1235" s="619"/>
      <c r="G1235" s="619"/>
      <c r="H1235" s="619"/>
      <c r="I1235" s="620"/>
      <c r="J1235" s="340"/>
    </row>
    <row r="1236" spans="2:12" s="337" customFormat="1" ht="30" customHeight="1" x14ac:dyDescent="0.2">
      <c r="B1236" s="621" t="s">
        <v>459</v>
      </c>
      <c r="C1236" s="622"/>
      <c r="D1236" s="622"/>
      <c r="E1236" s="622"/>
      <c r="F1236" s="622"/>
      <c r="G1236" s="623"/>
      <c r="H1236" s="624" t="s">
        <v>583</v>
      </c>
      <c r="I1236" s="625"/>
      <c r="J1236" s="340"/>
    </row>
    <row r="1237" spans="2:12" s="337" customFormat="1" ht="30" customHeight="1" x14ac:dyDescent="0.2">
      <c r="B1237" s="626" t="s">
        <v>543</v>
      </c>
      <c r="C1237" s="627"/>
      <c r="D1237" s="627"/>
      <c r="E1237" s="627"/>
      <c r="F1237" s="627"/>
      <c r="G1237" s="628"/>
      <c r="H1237" s="341" t="s">
        <v>57</v>
      </c>
      <c r="I1237" s="342" t="s">
        <v>85</v>
      </c>
      <c r="J1237" s="600"/>
      <c r="K1237" s="600"/>
    </row>
    <row r="1238" spans="2:12" s="337" customFormat="1" ht="30" customHeight="1" x14ac:dyDescent="0.2">
      <c r="B1238" s="601" t="s">
        <v>58</v>
      </c>
      <c r="C1238" s="602"/>
      <c r="D1238" s="602"/>
      <c r="E1238" s="602"/>
      <c r="F1238" s="602"/>
      <c r="G1238" s="602"/>
      <c r="H1238" s="602"/>
      <c r="I1238" s="603"/>
      <c r="J1238" s="600"/>
      <c r="K1238" s="600"/>
    </row>
    <row r="1239" spans="2:12" s="337" customFormat="1" ht="25.5" x14ac:dyDescent="0.2">
      <c r="B1239" s="343" t="s">
        <v>59</v>
      </c>
      <c r="C1239" s="36" t="s">
        <v>60</v>
      </c>
      <c r="D1239" s="344" t="s">
        <v>6</v>
      </c>
      <c r="E1239" s="345" t="s">
        <v>61</v>
      </c>
      <c r="F1239" s="345" t="s">
        <v>62</v>
      </c>
      <c r="G1239" s="346" t="s">
        <v>63</v>
      </c>
      <c r="H1239" s="346" t="s">
        <v>64</v>
      </c>
      <c r="I1239" s="347" t="s">
        <v>65</v>
      </c>
      <c r="J1239" s="600"/>
      <c r="K1239" s="600"/>
    </row>
    <row r="1240" spans="2:12" s="348" customFormat="1" x14ac:dyDescent="0.2">
      <c r="B1240" s="349"/>
      <c r="C1240" s="350"/>
      <c r="D1240" s="351"/>
      <c r="E1240" s="352"/>
      <c r="F1240" s="353"/>
      <c r="G1240" s="354"/>
      <c r="H1240" s="355"/>
      <c r="I1240" s="354">
        <f>D1240*G1240</f>
        <v>0</v>
      </c>
      <c r="J1240" s="122"/>
      <c r="L1240" s="356"/>
    </row>
    <row r="1241" spans="2:12" s="348" customFormat="1" ht="15" customHeight="1" x14ac:dyDescent="0.2">
      <c r="B1241" s="604" t="s">
        <v>69</v>
      </c>
      <c r="C1241" s="605"/>
      <c r="D1241" s="605"/>
      <c r="E1241" s="605"/>
      <c r="F1241" s="605"/>
      <c r="G1241" s="605"/>
      <c r="H1241" s="605"/>
      <c r="I1241" s="357">
        <f>SUM(I1240:I1240)</f>
        <v>0</v>
      </c>
      <c r="J1241" s="122"/>
    </row>
    <row r="1242" spans="2:12" s="337" customFormat="1" ht="30" customHeight="1" x14ac:dyDescent="0.2">
      <c r="B1242" s="601" t="s">
        <v>70</v>
      </c>
      <c r="C1242" s="602"/>
      <c r="D1242" s="602"/>
      <c r="E1242" s="602"/>
      <c r="F1242" s="602"/>
      <c r="G1242" s="602"/>
      <c r="H1242" s="602"/>
      <c r="I1242" s="603"/>
      <c r="J1242" s="340"/>
      <c r="K1242" s="358"/>
    </row>
    <row r="1243" spans="2:12" s="337" customFormat="1" ht="14.1" customHeight="1" x14ac:dyDescent="0.2">
      <c r="B1243" s="359" t="s">
        <v>59</v>
      </c>
      <c r="C1243" s="36" t="s">
        <v>60</v>
      </c>
      <c r="D1243" s="360" t="s">
        <v>6</v>
      </c>
      <c r="E1243" s="361"/>
      <c r="F1243" s="361"/>
      <c r="G1243" s="361"/>
      <c r="H1243" s="350" t="s">
        <v>71</v>
      </c>
      <c r="I1243" s="362" t="s">
        <v>65</v>
      </c>
      <c r="J1243" s="340"/>
    </row>
    <row r="1244" spans="2:12" s="337" customFormat="1" ht="15" customHeight="1" x14ac:dyDescent="0.2">
      <c r="B1244" s="363" t="s">
        <v>480</v>
      </c>
      <c r="C1244" s="169" t="s">
        <v>398</v>
      </c>
      <c r="D1244" s="364">
        <v>0.12</v>
      </c>
      <c r="E1244" s="365"/>
      <c r="F1244" s="365"/>
      <c r="G1244" s="365"/>
      <c r="H1244" s="366">
        <f>INSUMOS!E81</f>
        <v>0.31</v>
      </c>
      <c r="I1244" s="367">
        <f>D1244*H1244</f>
        <v>0.04</v>
      </c>
      <c r="J1244" s="340"/>
      <c r="K1244" s="368"/>
    </row>
    <row r="1245" spans="2:12" s="337" customFormat="1" ht="15" customHeight="1" x14ac:dyDescent="0.2">
      <c r="B1245" s="369" t="s">
        <v>481</v>
      </c>
      <c r="C1245" s="370" t="s">
        <v>95</v>
      </c>
      <c r="D1245" s="371">
        <v>0.18</v>
      </c>
      <c r="E1245" s="372"/>
      <c r="F1245" s="372"/>
      <c r="G1245" s="372"/>
      <c r="H1245" s="366">
        <f>INSUMOS!E77</f>
        <v>12.88</v>
      </c>
      <c r="I1245" s="367">
        <f>D1245*H1245</f>
        <v>2.3199999999999998</v>
      </c>
      <c r="J1245" s="340"/>
      <c r="K1245" s="368"/>
    </row>
    <row r="1246" spans="2:12" s="337" customFormat="1" ht="15" customHeight="1" x14ac:dyDescent="0.2">
      <c r="B1246" s="606" t="s">
        <v>69</v>
      </c>
      <c r="C1246" s="607"/>
      <c r="D1246" s="607"/>
      <c r="E1246" s="607"/>
      <c r="F1246" s="607"/>
      <c r="G1246" s="607"/>
      <c r="H1246" s="607"/>
      <c r="I1246" s="367">
        <f>SUM(I1244:I1245)</f>
        <v>2.36</v>
      </c>
      <c r="J1246" s="340"/>
    </row>
    <row r="1247" spans="2:12" s="337" customFormat="1" ht="30" customHeight="1" x14ac:dyDescent="0.2">
      <c r="B1247" s="601" t="s">
        <v>72</v>
      </c>
      <c r="C1247" s="602"/>
      <c r="D1247" s="602"/>
      <c r="E1247" s="602"/>
      <c r="F1247" s="602"/>
      <c r="G1247" s="602"/>
      <c r="H1247" s="602"/>
      <c r="I1247" s="603"/>
      <c r="J1247" s="340"/>
    </row>
    <row r="1248" spans="2:12" s="337" customFormat="1" ht="15" customHeight="1" x14ac:dyDescent="0.2">
      <c r="B1248" s="374" t="s">
        <v>59</v>
      </c>
      <c r="C1248" s="36" t="s">
        <v>60</v>
      </c>
      <c r="D1248" s="350" t="s">
        <v>6</v>
      </c>
      <c r="E1248" s="375"/>
      <c r="F1248" s="375"/>
      <c r="G1248" s="375"/>
      <c r="H1248" s="350" t="s">
        <v>71</v>
      </c>
      <c r="I1248" s="367" t="s">
        <v>65</v>
      </c>
      <c r="J1248" s="340"/>
    </row>
    <row r="1249" spans="2:10" s="337" customFormat="1" ht="15" customHeight="1" x14ac:dyDescent="0.2">
      <c r="B1249" s="394"/>
      <c r="C1249" s="350"/>
      <c r="D1249" s="377"/>
      <c r="E1249" s="375"/>
      <c r="F1249" s="375"/>
      <c r="G1249" s="375"/>
      <c r="H1249" s="396"/>
      <c r="I1249" s="367"/>
      <c r="J1249" s="340"/>
    </row>
    <row r="1250" spans="2:10" s="337" customFormat="1" ht="15" customHeight="1" x14ac:dyDescent="0.2">
      <c r="B1250" s="608" t="s">
        <v>69</v>
      </c>
      <c r="C1250" s="609"/>
      <c r="D1250" s="609"/>
      <c r="E1250" s="609"/>
      <c r="F1250" s="609"/>
      <c r="G1250" s="609"/>
      <c r="H1250" s="609"/>
      <c r="I1250" s="367">
        <f>SUM(I1249)</f>
        <v>0</v>
      </c>
      <c r="J1250" s="340"/>
    </row>
    <row r="1251" spans="2:10" s="337" customFormat="1" ht="30" customHeight="1" x14ac:dyDescent="0.2">
      <c r="B1251" s="601" t="s">
        <v>74</v>
      </c>
      <c r="C1251" s="602"/>
      <c r="D1251" s="602"/>
      <c r="E1251" s="602"/>
      <c r="F1251" s="602"/>
      <c r="G1251" s="602"/>
      <c r="H1251" s="602"/>
      <c r="I1251" s="603"/>
      <c r="J1251" s="340"/>
    </row>
    <row r="1252" spans="2:10" s="337" customFormat="1" ht="14.1" customHeight="1" x14ac:dyDescent="0.2">
      <c r="B1252" s="378" t="s">
        <v>59</v>
      </c>
      <c r="C1252" s="36" t="s">
        <v>60</v>
      </c>
      <c r="D1252" s="379" t="s">
        <v>6</v>
      </c>
      <c r="E1252" s="365"/>
      <c r="F1252" s="365"/>
      <c r="G1252" s="365"/>
      <c r="H1252" s="350" t="s">
        <v>71</v>
      </c>
      <c r="I1252" s="362" t="s">
        <v>65</v>
      </c>
      <c r="J1252" s="340"/>
    </row>
    <row r="1253" spans="2:10" s="337" customFormat="1" ht="15" customHeight="1" x14ac:dyDescent="0.2">
      <c r="B1253" s="380" t="s">
        <v>482</v>
      </c>
      <c r="C1253" s="381" t="s">
        <v>67</v>
      </c>
      <c r="D1253" s="382">
        <v>0.3</v>
      </c>
      <c r="E1253" s="365"/>
      <c r="F1253" s="365"/>
      <c r="G1253" s="365"/>
      <c r="H1253" s="366">
        <f>INSUMOS!E20</f>
        <v>4.55</v>
      </c>
      <c r="I1253" s="367">
        <f>D1253*H1253</f>
        <v>1.37</v>
      </c>
      <c r="J1253" s="340"/>
    </row>
    <row r="1254" spans="2:10" s="337" customFormat="1" ht="15" customHeight="1" x14ac:dyDescent="0.2">
      <c r="B1254" s="380" t="s">
        <v>466</v>
      </c>
      <c r="C1254" s="381" t="s">
        <v>67</v>
      </c>
      <c r="D1254" s="382">
        <v>0.1</v>
      </c>
      <c r="E1254" s="365"/>
      <c r="F1254" s="365"/>
      <c r="G1254" s="365"/>
      <c r="H1254" s="366">
        <f>INSUMOS!E15</f>
        <v>3.42</v>
      </c>
      <c r="I1254" s="367">
        <f>D1254*H1254</f>
        <v>0.34</v>
      </c>
      <c r="J1254" s="340"/>
    </row>
    <row r="1255" spans="2:10" s="337" customFormat="1" ht="15" customHeight="1" x14ac:dyDescent="0.2">
      <c r="B1255" s="599" t="s">
        <v>641</v>
      </c>
      <c r="C1255" s="599"/>
      <c r="D1255" s="599"/>
      <c r="E1255" s="599"/>
      <c r="F1255" s="599"/>
      <c r="G1255" s="599"/>
      <c r="H1255" s="599"/>
      <c r="I1255" s="357">
        <f>SUM(I1253:I1254)*0.9103</f>
        <v>1.56</v>
      </c>
      <c r="J1255" s="340"/>
    </row>
    <row r="1256" spans="2:10" s="337" customFormat="1" ht="15" customHeight="1" x14ac:dyDescent="0.2">
      <c r="B1256" s="608" t="s">
        <v>69</v>
      </c>
      <c r="C1256" s="609"/>
      <c r="D1256" s="609"/>
      <c r="E1256" s="609"/>
      <c r="F1256" s="609"/>
      <c r="G1256" s="609"/>
      <c r="H1256" s="609"/>
      <c r="I1256" s="357">
        <f>SUM(I1253:I1255)</f>
        <v>3.27</v>
      </c>
      <c r="J1256" s="340"/>
    </row>
    <row r="1257" spans="2:10" s="337" customFormat="1" ht="15" customHeight="1" x14ac:dyDescent="0.2">
      <c r="B1257" s="383" t="s">
        <v>76</v>
      </c>
      <c r="C1257" s="384">
        <v>1</v>
      </c>
      <c r="D1257" s="609" t="s">
        <v>77</v>
      </c>
      <c r="E1257" s="609"/>
      <c r="F1257" s="609"/>
      <c r="G1257" s="609"/>
      <c r="H1257" s="609"/>
      <c r="I1257" s="357">
        <f>I1256+I1250+I1246+I1241</f>
        <v>5.63</v>
      </c>
      <c r="J1257" s="340"/>
    </row>
    <row r="1258" spans="2:10" s="337" customFormat="1" ht="15" customHeight="1" x14ac:dyDescent="0.2">
      <c r="B1258" s="610" t="s">
        <v>463</v>
      </c>
      <c r="C1258" s="611"/>
      <c r="D1258" s="612"/>
      <c r="E1258" s="612"/>
      <c r="F1258" s="612"/>
      <c r="G1258" s="612"/>
      <c r="H1258" s="612"/>
      <c r="I1258" s="367">
        <f>I1257/C1257</f>
        <v>5.63</v>
      </c>
      <c r="J1258" s="340">
        <v>5.68</v>
      </c>
    </row>
    <row r="1259" spans="2:10" s="337" customFormat="1" ht="15" customHeight="1" x14ac:dyDescent="0.2">
      <c r="B1259" s="385" t="s">
        <v>464</v>
      </c>
      <c r="C1259" s="386">
        <v>25</v>
      </c>
      <c r="D1259" s="613" t="s">
        <v>272</v>
      </c>
      <c r="E1259" s="614"/>
      <c r="F1259" s="614"/>
      <c r="G1259" s="614"/>
      <c r="H1259" s="615"/>
      <c r="I1259" s="367">
        <f>I1258/100*C1259</f>
        <v>1.41</v>
      </c>
      <c r="J1259" s="340"/>
    </row>
    <row r="1260" spans="2:10" s="337" customFormat="1" ht="30" customHeight="1" thickBot="1" x14ac:dyDescent="0.25">
      <c r="B1260" s="616" t="s">
        <v>78</v>
      </c>
      <c r="C1260" s="617"/>
      <c r="D1260" s="617"/>
      <c r="E1260" s="617"/>
      <c r="F1260" s="617"/>
      <c r="G1260" s="617"/>
      <c r="H1260" s="618"/>
      <c r="I1260" s="136">
        <f>SUM(I1258:I1259)</f>
        <v>7.04</v>
      </c>
      <c r="J1260" s="340"/>
    </row>
    <row r="1265" spans="2:12" ht="13.5" thickBot="1" x14ac:dyDescent="0.25"/>
    <row r="1266" spans="2:12" s="337" customFormat="1" ht="30" customHeight="1" x14ac:dyDescent="0.2">
      <c r="B1266" s="338" t="s">
        <v>55</v>
      </c>
      <c r="C1266" s="339" t="s">
        <v>590</v>
      </c>
      <c r="D1266" s="619" t="s">
        <v>56</v>
      </c>
      <c r="E1266" s="619"/>
      <c r="F1266" s="619"/>
      <c r="G1266" s="619"/>
      <c r="H1266" s="619"/>
      <c r="I1266" s="620"/>
      <c r="J1266" s="340"/>
    </row>
    <row r="1267" spans="2:12" s="337" customFormat="1" ht="30" customHeight="1" x14ac:dyDescent="0.2">
      <c r="B1267" s="621" t="s">
        <v>459</v>
      </c>
      <c r="C1267" s="622"/>
      <c r="D1267" s="622"/>
      <c r="E1267" s="622"/>
      <c r="F1267" s="622"/>
      <c r="G1267" s="623"/>
      <c r="H1267" s="624" t="s">
        <v>583</v>
      </c>
      <c r="I1267" s="625"/>
      <c r="J1267" s="340"/>
    </row>
    <row r="1268" spans="2:12" s="337" customFormat="1" ht="30" customHeight="1" x14ac:dyDescent="0.2">
      <c r="B1268" s="626" t="s">
        <v>544</v>
      </c>
      <c r="C1268" s="627"/>
      <c r="D1268" s="627"/>
      <c r="E1268" s="627"/>
      <c r="F1268" s="627"/>
      <c r="G1268" s="628"/>
      <c r="H1268" s="341" t="s">
        <v>57</v>
      </c>
      <c r="I1268" s="342" t="s">
        <v>85</v>
      </c>
      <c r="J1268" s="600"/>
      <c r="K1268" s="600"/>
    </row>
    <row r="1269" spans="2:12" s="337" customFormat="1" ht="30" customHeight="1" x14ac:dyDescent="0.2">
      <c r="B1269" s="601" t="s">
        <v>58</v>
      </c>
      <c r="C1269" s="602"/>
      <c r="D1269" s="602"/>
      <c r="E1269" s="602"/>
      <c r="F1269" s="602"/>
      <c r="G1269" s="602"/>
      <c r="H1269" s="602"/>
      <c r="I1269" s="603"/>
      <c r="J1269" s="600"/>
      <c r="K1269" s="600"/>
    </row>
    <row r="1270" spans="2:12" s="337" customFormat="1" ht="25.5" x14ac:dyDescent="0.2">
      <c r="B1270" s="343" t="s">
        <v>59</v>
      </c>
      <c r="C1270" s="36" t="s">
        <v>60</v>
      </c>
      <c r="D1270" s="344" t="s">
        <v>6</v>
      </c>
      <c r="E1270" s="345" t="s">
        <v>61</v>
      </c>
      <c r="F1270" s="345" t="s">
        <v>62</v>
      </c>
      <c r="G1270" s="346" t="s">
        <v>63</v>
      </c>
      <c r="H1270" s="346" t="s">
        <v>64</v>
      </c>
      <c r="I1270" s="347" t="s">
        <v>65</v>
      </c>
      <c r="J1270" s="600"/>
      <c r="K1270" s="600"/>
    </row>
    <row r="1271" spans="2:12" s="348" customFormat="1" x14ac:dyDescent="0.2">
      <c r="B1271" s="349"/>
      <c r="C1271" s="350"/>
      <c r="D1271" s="351"/>
      <c r="E1271" s="352"/>
      <c r="F1271" s="353"/>
      <c r="G1271" s="354"/>
      <c r="H1271" s="355"/>
      <c r="I1271" s="354">
        <f>D1271*G1271</f>
        <v>0</v>
      </c>
      <c r="J1271" s="122"/>
      <c r="L1271" s="356"/>
    </row>
    <row r="1272" spans="2:12" s="348" customFormat="1" ht="15" customHeight="1" x14ac:dyDescent="0.2">
      <c r="B1272" s="604" t="s">
        <v>69</v>
      </c>
      <c r="C1272" s="605"/>
      <c r="D1272" s="605"/>
      <c r="E1272" s="605"/>
      <c r="F1272" s="605"/>
      <c r="G1272" s="605"/>
      <c r="H1272" s="605"/>
      <c r="I1272" s="357">
        <f>SUM(I1271:I1271)</f>
        <v>0</v>
      </c>
      <c r="J1272" s="122"/>
    </row>
    <row r="1273" spans="2:12" s="337" customFormat="1" ht="30" customHeight="1" x14ac:dyDescent="0.2">
      <c r="B1273" s="601" t="s">
        <v>70</v>
      </c>
      <c r="C1273" s="602"/>
      <c r="D1273" s="602"/>
      <c r="E1273" s="602"/>
      <c r="F1273" s="602"/>
      <c r="G1273" s="602"/>
      <c r="H1273" s="602"/>
      <c r="I1273" s="603"/>
      <c r="J1273" s="340"/>
      <c r="K1273" s="358"/>
    </row>
    <row r="1274" spans="2:12" s="337" customFormat="1" ht="14.1" customHeight="1" x14ac:dyDescent="0.2">
      <c r="B1274" s="359" t="s">
        <v>59</v>
      </c>
      <c r="C1274" s="36" t="s">
        <v>60</v>
      </c>
      <c r="D1274" s="360" t="s">
        <v>6</v>
      </c>
      <c r="E1274" s="361"/>
      <c r="F1274" s="361"/>
      <c r="G1274" s="361"/>
      <c r="H1274" s="350" t="s">
        <v>71</v>
      </c>
      <c r="I1274" s="362" t="s">
        <v>65</v>
      </c>
      <c r="J1274" s="340"/>
    </row>
    <row r="1275" spans="2:12" s="348" customFormat="1" ht="15" customHeight="1" x14ac:dyDescent="0.2">
      <c r="B1275" s="363" t="s">
        <v>485</v>
      </c>
      <c r="C1275" s="169" t="s">
        <v>398</v>
      </c>
      <c r="D1275" s="364">
        <v>0.12</v>
      </c>
      <c r="E1275" s="365"/>
      <c r="F1275" s="365"/>
      <c r="G1275" s="365"/>
      <c r="H1275" s="366">
        <f>INSUMOS!E82</f>
        <v>1.37</v>
      </c>
      <c r="I1275" s="367">
        <f>D1275*H1275</f>
        <v>0.16</v>
      </c>
      <c r="J1275" s="122"/>
      <c r="K1275" s="397"/>
    </row>
    <row r="1276" spans="2:12" s="348" customFormat="1" ht="15" customHeight="1" x14ac:dyDescent="0.2">
      <c r="B1276" s="369" t="s">
        <v>486</v>
      </c>
      <c r="C1276" s="370" t="s">
        <v>95</v>
      </c>
      <c r="D1276" s="371">
        <v>0.13</v>
      </c>
      <c r="E1276" s="372"/>
      <c r="F1276" s="372"/>
      <c r="G1276" s="372"/>
      <c r="H1276" s="366">
        <f>INSUMOS!E78</f>
        <v>21.43</v>
      </c>
      <c r="I1276" s="367">
        <f>D1276*H1276</f>
        <v>2.79</v>
      </c>
      <c r="J1276" s="122"/>
      <c r="K1276" s="397"/>
    </row>
    <row r="1277" spans="2:12" s="348" customFormat="1" ht="15" customHeight="1" x14ac:dyDescent="0.2">
      <c r="B1277" s="606" t="s">
        <v>69</v>
      </c>
      <c r="C1277" s="607"/>
      <c r="D1277" s="607"/>
      <c r="E1277" s="607"/>
      <c r="F1277" s="607"/>
      <c r="G1277" s="607"/>
      <c r="H1277" s="607"/>
      <c r="I1277" s="367">
        <f>SUM(I1275:I1276)</f>
        <v>2.95</v>
      </c>
      <c r="J1277" s="122"/>
    </row>
    <row r="1278" spans="2:12" s="337" customFormat="1" ht="30" customHeight="1" x14ac:dyDescent="0.2">
      <c r="B1278" s="601" t="s">
        <v>72</v>
      </c>
      <c r="C1278" s="602"/>
      <c r="D1278" s="602"/>
      <c r="E1278" s="602"/>
      <c r="F1278" s="602"/>
      <c r="G1278" s="602"/>
      <c r="H1278" s="602"/>
      <c r="I1278" s="603"/>
      <c r="J1278" s="340"/>
    </row>
    <row r="1279" spans="2:12" s="337" customFormat="1" ht="15" customHeight="1" x14ac:dyDescent="0.2">
      <c r="B1279" s="374" t="s">
        <v>59</v>
      </c>
      <c r="C1279" s="36" t="s">
        <v>60</v>
      </c>
      <c r="D1279" s="350" t="s">
        <v>6</v>
      </c>
      <c r="E1279" s="375"/>
      <c r="F1279" s="375"/>
      <c r="G1279" s="375"/>
      <c r="H1279" s="350" t="s">
        <v>71</v>
      </c>
      <c r="I1279" s="367" t="s">
        <v>65</v>
      </c>
      <c r="J1279" s="340"/>
    </row>
    <row r="1280" spans="2:12" s="337" customFormat="1" ht="15" customHeight="1" x14ac:dyDescent="0.2">
      <c r="B1280" s="394"/>
      <c r="C1280" s="350"/>
      <c r="D1280" s="377"/>
      <c r="E1280" s="375"/>
      <c r="F1280" s="375"/>
      <c r="G1280" s="375"/>
      <c r="H1280" s="396"/>
      <c r="I1280" s="367"/>
      <c r="J1280" s="340"/>
    </row>
    <row r="1281" spans="2:10" s="337" customFormat="1" ht="15" customHeight="1" x14ac:dyDescent="0.2">
      <c r="B1281" s="608" t="s">
        <v>69</v>
      </c>
      <c r="C1281" s="609"/>
      <c r="D1281" s="609"/>
      <c r="E1281" s="609"/>
      <c r="F1281" s="609"/>
      <c r="G1281" s="609"/>
      <c r="H1281" s="609"/>
      <c r="I1281" s="367">
        <f>SUM(I1280)</f>
        <v>0</v>
      </c>
      <c r="J1281" s="340"/>
    </row>
    <row r="1282" spans="2:10" s="337" customFormat="1" ht="30" customHeight="1" x14ac:dyDescent="0.2">
      <c r="B1282" s="601" t="s">
        <v>74</v>
      </c>
      <c r="C1282" s="602"/>
      <c r="D1282" s="602"/>
      <c r="E1282" s="602"/>
      <c r="F1282" s="602"/>
      <c r="G1282" s="602"/>
      <c r="H1282" s="602"/>
      <c r="I1282" s="603"/>
      <c r="J1282" s="340"/>
    </row>
    <row r="1283" spans="2:10" s="337" customFormat="1" ht="14.1" customHeight="1" x14ac:dyDescent="0.2">
      <c r="B1283" s="378" t="s">
        <v>59</v>
      </c>
      <c r="C1283" s="36" t="s">
        <v>60</v>
      </c>
      <c r="D1283" s="379" t="s">
        <v>6</v>
      </c>
      <c r="E1283" s="365"/>
      <c r="F1283" s="365"/>
      <c r="G1283" s="365"/>
      <c r="H1283" s="350" t="s">
        <v>71</v>
      </c>
      <c r="I1283" s="362" t="s">
        <v>65</v>
      </c>
      <c r="J1283" s="340"/>
    </row>
    <row r="1284" spans="2:10" s="337" customFormat="1" ht="14.1" customHeight="1" x14ac:dyDescent="0.2">
      <c r="B1284" s="398" t="s">
        <v>482</v>
      </c>
      <c r="C1284" s="350" t="s">
        <v>67</v>
      </c>
      <c r="D1284" s="364">
        <v>0.59</v>
      </c>
      <c r="E1284" s="365"/>
      <c r="F1284" s="365"/>
      <c r="G1284" s="365"/>
      <c r="H1284" s="366">
        <f>INSUMOS!E20</f>
        <v>4.55</v>
      </c>
      <c r="I1284" s="367">
        <f>D1284*H1284</f>
        <v>2.68</v>
      </c>
      <c r="J1284" s="340"/>
    </row>
    <row r="1285" spans="2:10" s="337" customFormat="1" ht="14.1" customHeight="1" x14ac:dyDescent="0.2">
      <c r="B1285" s="398" t="s">
        <v>466</v>
      </c>
      <c r="C1285" s="350" t="s">
        <v>67</v>
      </c>
      <c r="D1285" s="364">
        <v>0.19</v>
      </c>
      <c r="E1285" s="365"/>
      <c r="F1285" s="365"/>
      <c r="G1285" s="365"/>
      <c r="H1285" s="366">
        <f>INSUMOS!E15</f>
        <v>3.42</v>
      </c>
      <c r="I1285" s="367">
        <f>D1285*H1285</f>
        <v>0.65</v>
      </c>
      <c r="J1285" s="340"/>
    </row>
    <row r="1286" spans="2:10" s="337" customFormat="1" ht="14.1" customHeight="1" x14ac:dyDescent="0.2">
      <c r="B1286" s="599" t="s">
        <v>641</v>
      </c>
      <c r="C1286" s="599"/>
      <c r="D1286" s="599"/>
      <c r="E1286" s="599"/>
      <c r="F1286" s="599"/>
      <c r="G1286" s="599"/>
      <c r="H1286" s="599"/>
      <c r="I1286" s="357">
        <f>SUM(I1284:I1285)*0.9103</f>
        <v>3.03</v>
      </c>
      <c r="J1286" s="340"/>
    </row>
    <row r="1287" spans="2:10" s="337" customFormat="1" ht="14.1" customHeight="1" x14ac:dyDescent="0.2">
      <c r="B1287" s="608" t="s">
        <v>69</v>
      </c>
      <c r="C1287" s="609"/>
      <c r="D1287" s="609"/>
      <c r="E1287" s="609"/>
      <c r="F1287" s="609"/>
      <c r="G1287" s="609"/>
      <c r="H1287" s="609"/>
      <c r="I1287" s="357">
        <f>SUM(I1284:I1286)</f>
        <v>6.36</v>
      </c>
      <c r="J1287" s="340"/>
    </row>
    <row r="1288" spans="2:10" s="337" customFormat="1" ht="14.1" customHeight="1" x14ac:dyDescent="0.2">
      <c r="B1288" s="383" t="s">
        <v>76</v>
      </c>
      <c r="C1288" s="384">
        <v>1</v>
      </c>
      <c r="D1288" s="609" t="s">
        <v>77</v>
      </c>
      <c r="E1288" s="609"/>
      <c r="F1288" s="609"/>
      <c r="G1288" s="609"/>
      <c r="H1288" s="609"/>
      <c r="I1288" s="357">
        <f>I1287+I1281+I1277+I1272</f>
        <v>9.31</v>
      </c>
      <c r="J1288" s="340"/>
    </row>
    <row r="1289" spans="2:10" s="337" customFormat="1" ht="14.1" customHeight="1" x14ac:dyDescent="0.2">
      <c r="B1289" s="610" t="s">
        <v>463</v>
      </c>
      <c r="C1289" s="611"/>
      <c r="D1289" s="612"/>
      <c r="E1289" s="612"/>
      <c r="F1289" s="612"/>
      <c r="G1289" s="612"/>
      <c r="H1289" s="612"/>
      <c r="I1289" s="367">
        <f>I1288/C1288</f>
        <v>9.31</v>
      </c>
      <c r="J1289" s="340">
        <v>9.69</v>
      </c>
    </row>
    <row r="1290" spans="2:10" s="337" customFormat="1" ht="14.1" customHeight="1" x14ac:dyDescent="0.2">
      <c r="B1290" s="385" t="s">
        <v>464</v>
      </c>
      <c r="C1290" s="386">
        <v>25</v>
      </c>
      <c r="D1290" s="613" t="s">
        <v>272</v>
      </c>
      <c r="E1290" s="614"/>
      <c r="F1290" s="614"/>
      <c r="G1290" s="614"/>
      <c r="H1290" s="615"/>
      <c r="I1290" s="367">
        <f>I1289/100*C1290</f>
        <v>2.33</v>
      </c>
      <c r="J1290" s="340"/>
    </row>
    <row r="1291" spans="2:10" s="337" customFormat="1" ht="30" customHeight="1" thickBot="1" x14ac:dyDescent="0.25">
      <c r="B1291" s="616" t="s">
        <v>78</v>
      </c>
      <c r="C1291" s="617"/>
      <c r="D1291" s="617"/>
      <c r="E1291" s="617"/>
      <c r="F1291" s="617"/>
      <c r="G1291" s="617"/>
      <c r="H1291" s="618"/>
      <c r="I1291" s="136">
        <f>SUM(I1289:I1290)</f>
        <v>11.64</v>
      </c>
      <c r="J1291" s="340"/>
    </row>
    <row r="1293" spans="2:10" ht="13.5" thickBot="1" x14ac:dyDescent="0.25"/>
    <row r="1294" spans="2:10" ht="30" customHeight="1" x14ac:dyDescent="0.2">
      <c r="B1294" s="202" t="s">
        <v>55</v>
      </c>
      <c r="C1294" s="488" t="str">
        <f>INSTALAÇÃO!B34</f>
        <v>2.13</v>
      </c>
      <c r="D1294" s="665" t="s">
        <v>56</v>
      </c>
      <c r="E1294" s="665"/>
      <c r="F1294" s="665"/>
      <c r="G1294" s="665"/>
      <c r="H1294" s="665"/>
      <c r="I1294" s="665"/>
    </row>
    <row r="1295" spans="2:10" s="128" customFormat="1" ht="30" customHeight="1" x14ac:dyDescent="0.2">
      <c r="B1295" s="666" t="s">
        <v>344</v>
      </c>
      <c r="C1295" s="667"/>
      <c r="D1295" s="667"/>
      <c r="E1295" s="667"/>
      <c r="F1295" s="667"/>
      <c r="G1295" s="668"/>
      <c r="H1295" s="669" t="s">
        <v>568</v>
      </c>
      <c r="I1295" s="670"/>
    </row>
    <row r="1296" spans="2:10" ht="30" customHeight="1" x14ac:dyDescent="0.2">
      <c r="B1296" s="664" t="s">
        <v>581</v>
      </c>
      <c r="C1296" s="664"/>
      <c r="D1296" s="664"/>
      <c r="E1296" s="664"/>
      <c r="F1296" s="664"/>
      <c r="G1296" s="664"/>
      <c r="H1296" s="34" t="s">
        <v>57</v>
      </c>
      <c r="I1296" s="127" t="s">
        <v>398</v>
      </c>
    </row>
    <row r="1297" spans="1:10" s="128" customFormat="1" ht="30" customHeight="1" x14ac:dyDescent="0.2">
      <c r="B1297" s="597" t="s">
        <v>58</v>
      </c>
      <c r="C1297" s="597"/>
      <c r="D1297" s="597"/>
      <c r="E1297" s="597"/>
      <c r="F1297" s="597"/>
      <c r="G1297" s="597"/>
      <c r="H1297" s="597"/>
      <c r="I1297" s="597"/>
    </row>
    <row r="1298" spans="1:10" ht="25.5" x14ac:dyDescent="0.2">
      <c r="A1298" s="93"/>
      <c r="B1298" s="35" t="s">
        <v>59</v>
      </c>
      <c r="C1298" s="173" t="s">
        <v>5</v>
      </c>
      <c r="D1298" s="36" t="s">
        <v>6</v>
      </c>
      <c r="E1298" s="36" t="s">
        <v>61</v>
      </c>
      <c r="F1298" s="36" t="s">
        <v>62</v>
      </c>
      <c r="G1298" s="36" t="s">
        <v>63</v>
      </c>
      <c r="H1298" s="36" t="s">
        <v>64</v>
      </c>
      <c r="I1298" s="37" t="s">
        <v>65</v>
      </c>
    </row>
    <row r="1299" spans="1:10" ht="15.95" customHeight="1" x14ac:dyDescent="0.2">
      <c r="B1299" s="97" t="s">
        <v>128</v>
      </c>
      <c r="C1299" s="88" t="s">
        <v>67</v>
      </c>
      <c r="D1299" s="89">
        <v>1</v>
      </c>
      <c r="E1299" s="47"/>
      <c r="F1299" s="47"/>
      <c r="G1299" s="56">
        <f>INSUMOS!E59</f>
        <v>4.05</v>
      </c>
      <c r="I1299" s="90">
        <f>G1299*D1299</f>
        <v>4.05</v>
      </c>
      <c r="J1299" s="105"/>
    </row>
    <row r="1300" spans="1:10" ht="15.95" customHeight="1" x14ac:dyDescent="0.2">
      <c r="B1300" s="598" t="s">
        <v>69</v>
      </c>
      <c r="C1300" s="598"/>
      <c r="D1300" s="598"/>
      <c r="E1300" s="598"/>
      <c r="F1300" s="598"/>
      <c r="G1300" s="598"/>
      <c r="H1300" s="598"/>
      <c r="I1300" s="95">
        <f>SUM(I1299:I1299)</f>
        <v>4.05</v>
      </c>
    </row>
    <row r="1301" spans="1:10" s="128" customFormat="1" ht="30" customHeight="1" x14ac:dyDescent="0.2">
      <c r="B1301" s="597" t="s">
        <v>70</v>
      </c>
      <c r="C1301" s="597"/>
      <c r="D1301" s="597"/>
      <c r="E1301" s="597"/>
      <c r="F1301" s="597"/>
      <c r="G1301" s="597"/>
      <c r="H1301" s="597"/>
      <c r="I1301" s="597"/>
    </row>
    <row r="1302" spans="1:10" ht="15.95" customHeight="1" x14ac:dyDescent="0.2">
      <c r="B1302" s="96" t="s">
        <v>59</v>
      </c>
      <c r="C1302" s="182" t="s">
        <v>5</v>
      </c>
      <c r="D1302" s="40" t="s">
        <v>6</v>
      </c>
      <c r="E1302" s="42"/>
      <c r="F1302" s="42"/>
      <c r="G1302" s="42"/>
      <c r="H1302" s="40" t="s">
        <v>71</v>
      </c>
      <c r="I1302" s="43" t="s">
        <v>65</v>
      </c>
    </row>
    <row r="1303" spans="1:10" ht="15.95" customHeight="1" x14ac:dyDescent="0.2">
      <c r="B1303" s="97" t="s">
        <v>153</v>
      </c>
      <c r="C1303" s="47" t="s">
        <v>27</v>
      </c>
      <c r="D1303" s="71">
        <v>0.5</v>
      </c>
      <c r="E1303" s="46"/>
      <c r="F1303" s="46"/>
      <c r="G1303" s="46"/>
      <c r="H1303" s="56">
        <f>INSUMOS!E79</f>
        <v>7.92</v>
      </c>
      <c r="I1303" s="90">
        <f>H1303*D1303</f>
        <v>3.96</v>
      </c>
    </row>
    <row r="1304" spans="1:10" ht="15.95" customHeight="1" x14ac:dyDescent="0.2">
      <c r="B1304" s="97" t="s">
        <v>154</v>
      </c>
      <c r="C1304" s="47" t="s">
        <v>85</v>
      </c>
      <c r="D1304" s="71">
        <v>0.84</v>
      </c>
      <c r="E1304" s="46"/>
      <c r="F1304" s="46"/>
      <c r="G1304" s="46"/>
      <c r="H1304" s="56">
        <f>INSUMOS!E90</f>
        <v>15.24</v>
      </c>
      <c r="I1304" s="90">
        <f>H1304*D1304</f>
        <v>12.8</v>
      </c>
    </row>
    <row r="1305" spans="1:10" ht="15.95" customHeight="1" x14ac:dyDescent="0.2">
      <c r="B1305" s="103" t="s">
        <v>155</v>
      </c>
      <c r="C1305" s="47" t="s">
        <v>88</v>
      </c>
      <c r="D1305" s="71">
        <v>0.3</v>
      </c>
      <c r="E1305" s="46"/>
      <c r="F1305" s="46"/>
      <c r="G1305" s="46"/>
      <c r="H1305" s="56">
        <f>INSUMOS!E68</f>
        <v>8</v>
      </c>
      <c r="I1305" s="90">
        <f>H1305*D1305</f>
        <v>2.4</v>
      </c>
    </row>
    <row r="1306" spans="1:10" ht="15.95" customHeight="1" x14ac:dyDescent="0.2">
      <c r="B1306" s="103" t="s">
        <v>150</v>
      </c>
      <c r="C1306" s="47" t="s">
        <v>88</v>
      </c>
      <c r="D1306" s="71">
        <v>150</v>
      </c>
      <c r="E1306" s="46"/>
      <c r="F1306" s="46"/>
      <c r="G1306" s="47"/>
      <c r="H1306" s="56">
        <f>INSUMOS!E41</f>
        <v>0.48</v>
      </c>
      <c r="I1306" s="90">
        <f>H1306*D1306</f>
        <v>72</v>
      </c>
    </row>
    <row r="1307" spans="1:10" ht="15.95" customHeight="1" x14ac:dyDescent="0.2">
      <c r="B1307" s="38" t="s">
        <v>151</v>
      </c>
      <c r="C1307" s="47" t="s">
        <v>32</v>
      </c>
      <c r="D1307" s="71">
        <v>0.1</v>
      </c>
      <c r="E1307" s="46"/>
      <c r="F1307" s="46"/>
      <c r="G1307" s="46"/>
      <c r="H1307" s="56">
        <f>INSUMOS!E42</f>
        <v>68.13</v>
      </c>
      <c r="I1307" s="90">
        <f t="shared" ref="I1307:I1312" si="3">H1307*D1307</f>
        <v>6.81</v>
      </c>
    </row>
    <row r="1308" spans="1:10" ht="15.95" customHeight="1" x14ac:dyDescent="0.2">
      <c r="B1308" s="38" t="s">
        <v>156</v>
      </c>
      <c r="C1308" s="47" t="s">
        <v>88</v>
      </c>
      <c r="D1308" s="71">
        <v>2.5</v>
      </c>
      <c r="E1308" s="46"/>
      <c r="F1308" s="46"/>
      <c r="G1308" s="46"/>
      <c r="H1308" s="56">
        <f>INSUMOS!E70</f>
        <v>0.89</v>
      </c>
      <c r="I1308" s="90">
        <f t="shared" si="3"/>
        <v>2.23</v>
      </c>
    </row>
    <row r="1309" spans="1:10" ht="15.95" customHeight="1" x14ac:dyDescent="0.2">
      <c r="B1309" s="38" t="s">
        <v>157</v>
      </c>
      <c r="C1309" s="85" t="s">
        <v>398</v>
      </c>
      <c r="D1309" s="71">
        <v>120</v>
      </c>
      <c r="E1309" s="46"/>
      <c r="F1309" s="46"/>
      <c r="G1309" s="46"/>
      <c r="H1309" s="56">
        <f>INSUMOS!E60</f>
        <v>0.45</v>
      </c>
      <c r="I1309" s="90">
        <f t="shared" si="3"/>
        <v>54</v>
      </c>
    </row>
    <row r="1310" spans="1:10" ht="15.95" customHeight="1" x14ac:dyDescent="0.2">
      <c r="B1310" s="38" t="s">
        <v>158</v>
      </c>
      <c r="C1310" s="47" t="s">
        <v>32</v>
      </c>
      <c r="D1310" s="71">
        <v>0.35</v>
      </c>
      <c r="E1310" s="46"/>
      <c r="F1310" s="46"/>
      <c r="G1310" s="46"/>
      <c r="H1310" s="56">
        <f>INSUMOS!E46</f>
        <v>70</v>
      </c>
      <c r="I1310" s="90">
        <f t="shared" si="3"/>
        <v>24.5</v>
      </c>
    </row>
    <row r="1311" spans="1:10" ht="15.95" customHeight="1" x14ac:dyDescent="0.2">
      <c r="B1311" s="38" t="s">
        <v>596</v>
      </c>
      <c r="C1311" s="85" t="s">
        <v>398</v>
      </c>
      <c r="D1311" s="71">
        <v>1</v>
      </c>
      <c r="E1311" s="46"/>
      <c r="F1311" s="46"/>
      <c r="G1311" s="46"/>
      <c r="H1311" s="56">
        <f>INSUMOS!E73</f>
        <v>19.829999999999998</v>
      </c>
      <c r="I1311" s="90">
        <f t="shared" si="3"/>
        <v>19.829999999999998</v>
      </c>
    </row>
    <row r="1312" spans="1:10" ht="15.95" customHeight="1" x14ac:dyDescent="0.2">
      <c r="B1312" s="38" t="s">
        <v>160</v>
      </c>
      <c r="C1312" s="47" t="s">
        <v>95</v>
      </c>
      <c r="D1312" s="71">
        <v>0.02</v>
      </c>
      <c r="E1312" s="46"/>
      <c r="F1312" s="46"/>
      <c r="G1312" s="46"/>
      <c r="H1312" s="56">
        <f>INSUMOS!E76</f>
        <v>8.9499999999999993</v>
      </c>
      <c r="I1312" s="90">
        <f t="shared" si="3"/>
        <v>0.18</v>
      </c>
    </row>
    <row r="1313" spans="2:10" ht="15.95" customHeight="1" x14ac:dyDescent="0.2">
      <c r="B1313" s="38" t="s">
        <v>161</v>
      </c>
      <c r="C1313" s="47" t="s">
        <v>88</v>
      </c>
      <c r="D1313" s="71">
        <v>0.8</v>
      </c>
      <c r="E1313" s="46"/>
      <c r="F1313" s="46"/>
      <c r="G1313" s="46"/>
      <c r="H1313" s="56">
        <f>INSUMOS!E34</f>
        <v>6.51</v>
      </c>
      <c r="I1313" s="90">
        <f>H1313*D1313</f>
        <v>5.21</v>
      </c>
    </row>
    <row r="1314" spans="2:10" ht="15.95" customHeight="1" x14ac:dyDescent="0.2">
      <c r="B1314" s="598" t="s">
        <v>69</v>
      </c>
      <c r="C1314" s="598"/>
      <c r="D1314" s="598"/>
      <c r="E1314" s="598"/>
      <c r="F1314" s="598"/>
      <c r="G1314" s="598"/>
      <c r="H1314" s="598"/>
      <c r="I1314" s="90">
        <f>SUM(I1303:I1313)</f>
        <v>203.92</v>
      </c>
    </row>
    <row r="1315" spans="2:10" s="128" customFormat="1" ht="30" customHeight="1" x14ac:dyDescent="0.2">
      <c r="B1315" s="597" t="s">
        <v>72</v>
      </c>
      <c r="C1315" s="597"/>
      <c r="D1315" s="597"/>
      <c r="E1315" s="597"/>
      <c r="F1315" s="597"/>
      <c r="G1315" s="597"/>
      <c r="H1315" s="597"/>
      <c r="I1315" s="597"/>
    </row>
    <row r="1316" spans="2:10" x14ac:dyDescent="0.2">
      <c r="B1316" s="45" t="s">
        <v>59</v>
      </c>
      <c r="C1316" s="71" t="s">
        <v>5</v>
      </c>
      <c r="D1316" s="47" t="s">
        <v>6</v>
      </c>
      <c r="E1316" s="46"/>
      <c r="F1316" s="46"/>
      <c r="G1316" s="46"/>
      <c r="H1316" s="47" t="s">
        <v>71</v>
      </c>
      <c r="I1316" s="43" t="s">
        <v>65</v>
      </c>
    </row>
    <row r="1317" spans="2:10" ht="25.5" x14ac:dyDescent="0.2">
      <c r="B1317" s="84" t="s">
        <v>604</v>
      </c>
      <c r="C1317" s="47" t="s">
        <v>32</v>
      </c>
      <c r="D1317" s="47">
        <f>3.6*1.8*0.1</f>
        <v>0.65</v>
      </c>
      <c r="E1317" s="46"/>
      <c r="F1317" s="46"/>
      <c r="G1317" s="46"/>
      <c r="H1317" s="47">
        <v>372.68</v>
      </c>
      <c r="I1317" s="90">
        <f>D1317*H1317</f>
        <v>242.24</v>
      </c>
      <c r="J1317" s="33" t="s">
        <v>605</v>
      </c>
    </row>
    <row r="1318" spans="2:10" x14ac:dyDescent="0.2">
      <c r="B1318" s="598" t="s">
        <v>69</v>
      </c>
      <c r="C1318" s="598"/>
      <c r="D1318" s="598"/>
      <c r="E1318" s="598"/>
      <c r="F1318" s="598"/>
      <c r="G1318" s="598"/>
      <c r="H1318" s="598"/>
      <c r="I1318" s="90">
        <f>SUM(I1317:I1317)</f>
        <v>242.24</v>
      </c>
    </row>
    <row r="1319" spans="2:10" s="128" customFormat="1" ht="30" customHeight="1" x14ac:dyDescent="0.2">
      <c r="B1319" s="597" t="s">
        <v>74</v>
      </c>
      <c r="C1319" s="597"/>
      <c r="D1319" s="597"/>
      <c r="E1319" s="597"/>
      <c r="F1319" s="597"/>
      <c r="G1319" s="597"/>
      <c r="H1319" s="597"/>
      <c r="I1319" s="597"/>
    </row>
    <row r="1320" spans="2:10" ht="15.95" customHeight="1" x14ac:dyDescent="0.2">
      <c r="B1320" s="96" t="s">
        <v>59</v>
      </c>
      <c r="C1320" s="182" t="s">
        <v>5</v>
      </c>
      <c r="D1320" s="110" t="s">
        <v>6</v>
      </c>
      <c r="E1320" s="42"/>
      <c r="F1320" s="42"/>
      <c r="G1320" s="42"/>
      <c r="H1320" s="40" t="s">
        <v>71</v>
      </c>
      <c r="I1320" s="43" t="s">
        <v>65</v>
      </c>
    </row>
    <row r="1321" spans="2:10" ht="15.95" customHeight="1" x14ac:dyDescent="0.2">
      <c r="B1321" s="53" t="s">
        <v>75</v>
      </c>
      <c r="C1321" s="71" t="s">
        <v>67</v>
      </c>
      <c r="D1321" s="47">
        <v>10</v>
      </c>
      <c r="E1321" s="46"/>
      <c r="F1321" s="46"/>
      <c r="G1321" s="46"/>
      <c r="H1321" s="56">
        <f>INSUMOS!E14</f>
        <v>3.42</v>
      </c>
      <c r="I1321" s="90">
        <f>H1321*D1321</f>
        <v>34.200000000000003</v>
      </c>
    </row>
    <row r="1322" spans="2:10" ht="15.95" customHeight="1" x14ac:dyDescent="0.2">
      <c r="B1322" s="106" t="s">
        <v>152</v>
      </c>
      <c r="C1322" s="419" t="s">
        <v>67</v>
      </c>
      <c r="D1322" s="47">
        <v>7</v>
      </c>
      <c r="E1322" s="46"/>
      <c r="F1322" s="46"/>
      <c r="G1322" s="46"/>
      <c r="H1322" s="56">
        <f>INSUMOS!E19</f>
        <v>4.55</v>
      </c>
      <c r="I1322" s="90">
        <f>H1322*D1322</f>
        <v>31.85</v>
      </c>
    </row>
    <row r="1323" spans="2:10" ht="15.95" customHeight="1" x14ac:dyDescent="0.2">
      <c r="B1323" s="599" t="s">
        <v>641</v>
      </c>
      <c r="C1323" s="599"/>
      <c r="D1323" s="599"/>
      <c r="E1323" s="599"/>
      <c r="F1323" s="599"/>
      <c r="G1323" s="599"/>
      <c r="H1323" s="599"/>
      <c r="I1323" s="90">
        <f>SUM(I1321:I1322)*0.9103</f>
        <v>60.13</v>
      </c>
    </row>
    <row r="1324" spans="2:10" ht="15.95" customHeight="1" x14ac:dyDescent="0.2">
      <c r="B1324" s="598" t="s">
        <v>69</v>
      </c>
      <c r="C1324" s="598"/>
      <c r="D1324" s="598"/>
      <c r="E1324" s="598"/>
      <c r="F1324" s="598"/>
      <c r="G1324" s="598"/>
      <c r="H1324" s="598"/>
      <c r="I1324" s="95">
        <f>SUM(I1321:I1323)</f>
        <v>126.18</v>
      </c>
    </row>
    <row r="1325" spans="2:10" ht="15.95" customHeight="1" x14ac:dyDescent="0.2">
      <c r="B1325" s="54" t="s">
        <v>76</v>
      </c>
      <c r="C1325" s="47">
        <v>1</v>
      </c>
      <c r="D1325" s="647" t="s">
        <v>77</v>
      </c>
      <c r="E1325" s="647"/>
      <c r="F1325" s="647"/>
      <c r="G1325" s="647"/>
      <c r="H1325" s="647"/>
      <c r="I1325" s="95">
        <f>I1324+I1318+I1314+I1300</f>
        <v>576.39</v>
      </c>
    </row>
    <row r="1326" spans="2:10" ht="15.95" customHeight="1" x14ac:dyDescent="0.2">
      <c r="B1326" s="593"/>
      <c r="C1326" s="594"/>
      <c r="D1326" s="594"/>
      <c r="E1326" s="594"/>
      <c r="F1326" s="594"/>
      <c r="G1326" s="594"/>
      <c r="H1326" s="595"/>
      <c r="I1326" s="95">
        <f>I1325/C1325</f>
        <v>576.39</v>
      </c>
    </row>
    <row r="1327" spans="2:10" ht="15.95" customHeight="1" x14ac:dyDescent="0.2">
      <c r="B1327" s="140" t="s">
        <v>346</v>
      </c>
      <c r="C1327" s="146">
        <v>25</v>
      </c>
      <c r="D1327" s="147" t="s">
        <v>272</v>
      </c>
      <c r="E1327" s="137"/>
      <c r="F1327" s="137"/>
      <c r="G1327" s="137"/>
      <c r="H1327" s="138"/>
      <c r="I1327" s="90">
        <f>C1327/100*I1326</f>
        <v>144.1</v>
      </c>
    </row>
    <row r="1328" spans="2:10" ht="30" customHeight="1" thickBot="1" x14ac:dyDescent="0.25">
      <c r="B1328" s="596" t="s">
        <v>78</v>
      </c>
      <c r="C1328" s="596"/>
      <c r="D1328" s="596"/>
      <c r="E1328" s="596"/>
      <c r="F1328" s="596"/>
      <c r="G1328" s="596"/>
      <c r="H1328" s="596"/>
      <c r="I1328" s="136">
        <f>SUM(I1326:I1327)</f>
        <v>720.49</v>
      </c>
    </row>
    <row r="1333" spans="1:9" ht="13.5" thickBot="1" x14ac:dyDescent="0.25"/>
    <row r="1334" spans="1:9" s="128" customFormat="1" ht="30" customHeight="1" x14ac:dyDescent="0.2">
      <c r="B1334" s="279" t="s">
        <v>55</v>
      </c>
      <c r="C1334" s="488" t="str">
        <f>INSTALAÇÃO!B35</f>
        <v>2.14</v>
      </c>
      <c r="D1334" s="709" t="s">
        <v>56</v>
      </c>
      <c r="E1334" s="709"/>
      <c r="F1334" s="709"/>
      <c r="G1334" s="709"/>
      <c r="H1334" s="709"/>
      <c r="I1334" s="710"/>
    </row>
    <row r="1335" spans="1:9" s="128" customFormat="1" ht="30" customHeight="1" x14ac:dyDescent="0.2">
      <c r="B1335" s="713" t="s">
        <v>402</v>
      </c>
      <c r="C1335" s="691"/>
      <c r="D1335" s="691"/>
      <c r="E1335" s="691"/>
      <c r="F1335" s="691"/>
      <c r="G1335" s="692"/>
      <c r="H1335" s="669" t="s">
        <v>568</v>
      </c>
      <c r="I1335" s="714"/>
    </row>
    <row r="1336" spans="1:9" s="128" customFormat="1" ht="30" customHeight="1" x14ac:dyDescent="0.2">
      <c r="B1336" s="715" t="s">
        <v>494</v>
      </c>
      <c r="C1336" s="664"/>
      <c r="D1336" s="664"/>
      <c r="E1336" s="664"/>
      <c r="F1336" s="664"/>
      <c r="G1336" s="664"/>
      <c r="H1336" s="34" t="s">
        <v>57</v>
      </c>
      <c r="I1336" s="213" t="s">
        <v>398</v>
      </c>
    </row>
    <row r="1337" spans="1:9" s="128" customFormat="1" ht="30" customHeight="1" x14ac:dyDescent="0.2">
      <c r="B1337" s="634" t="s">
        <v>58</v>
      </c>
      <c r="C1337" s="597"/>
      <c r="D1337" s="597"/>
      <c r="E1337" s="597"/>
      <c r="F1337" s="597"/>
      <c r="G1337" s="597"/>
      <c r="H1337" s="597"/>
      <c r="I1337" s="635"/>
    </row>
    <row r="1338" spans="1:9" ht="25.5" x14ac:dyDescent="0.2">
      <c r="A1338" s="93"/>
      <c r="B1338" s="214" t="s">
        <v>59</v>
      </c>
      <c r="C1338" s="173" t="s">
        <v>5</v>
      </c>
      <c r="D1338" s="36" t="s">
        <v>6</v>
      </c>
      <c r="E1338" s="36" t="s">
        <v>61</v>
      </c>
      <c r="F1338" s="36" t="s">
        <v>62</v>
      </c>
      <c r="G1338" s="36" t="s">
        <v>63</v>
      </c>
      <c r="H1338" s="36" t="s">
        <v>64</v>
      </c>
      <c r="I1338" s="215" t="s">
        <v>65</v>
      </c>
    </row>
    <row r="1339" spans="1:9" ht="15" customHeight="1" x14ac:dyDescent="0.2">
      <c r="B1339" s="403"/>
      <c r="C1339" s="404"/>
      <c r="D1339" s="405"/>
      <c r="E1339" s="278"/>
      <c r="F1339" s="49"/>
      <c r="G1339" s="49"/>
      <c r="H1339" s="49"/>
      <c r="I1339" s="280">
        <f>D1339*G1339</f>
        <v>0</v>
      </c>
    </row>
    <row r="1340" spans="1:9" ht="15.95" customHeight="1" x14ac:dyDescent="0.2">
      <c r="B1340" s="636" t="s">
        <v>69</v>
      </c>
      <c r="C1340" s="598"/>
      <c r="D1340" s="598"/>
      <c r="E1340" s="598"/>
      <c r="F1340" s="598"/>
      <c r="G1340" s="598"/>
      <c r="H1340" s="598"/>
      <c r="I1340" s="230">
        <f>SUM(I1339:I1339)</f>
        <v>0</v>
      </c>
    </row>
    <row r="1341" spans="1:9" s="128" customFormat="1" ht="30" customHeight="1" x14ac:dyDescent="0.2">
      <c r="B1341" s="634" t="s">
        <v>70</v>
      </c>
      <c r="C1341" s="597"/>
      <c r="D1341" s="597"/>
      <c r="E1341" s="597"/>
      <c r="F1341" s="597"/>
      <c r="G1341" s="597"/>
      <c r="H1341" s="597"/>
      <c r="I1341" s="635"/>
    </row>
    <row r="1342" spans="1:9" x14ac:dyDescent="0.2">
      <c r="B1342" s="231" t="s">
        <v>59</v>
      </c>
      <c r="C1342" s="78" t="s">
        <v>5</v>
      </c>
      <c r="D1342" s="40" t="s">
        <v>6</v>
      </c>
      <c r="E1342" s="42"/>
      <c r="F1342" s="42"/>
      <c r="G1342" s="42"/>
      <c r="H1342" s="40" t="s">
        <v>71</v>
      </c>
      <c r="I1342" s="217" t="s">
        <v>65</v>
      </c>
    </row>
    <row r="1343" spans="1:9" ht="15" customHeight="1" x14ac:dyDescent="0.2">
      <c r="B1343" s="403" t="s">
        <v>492</v>
      </c>
      <c r="C1343" s="404" t="s">
        <v>32</v>
      </c>
      <c r="D1343" s="408">
        <f>3.14*(1.27*1.27)*2.1-3.14*(1.02*1.02)*2.1</f>
        <v>3.78</v>
      </c>
      <c r="E1343" s="46"/>
      <c r="F1343" s="46"/>
      <c r="G1343" s="46"/>
      <c r="H1343" s="239">
        <f>INSUMOS!E44</f>
        <v>53.32</v>
      </c>
      <c r="I1343" s="234">
        <f>H1343*D1343</f>
        <v>201.55</v>
      </c>
    </row>
    <row r="1344" spans="1:9" ht="15" customHeight="1" x14ac:dyDescent="0.2">
      <c r="B1344" s="403" t="s">
        <v>495</v>
      </c>
      <c r="C1344" s="411" t="s">
        <v>88</v>
      </c>
      <c r="D1344" s="412">
        <v>17</v>
      </c>
      <c r="E1344" s="238"/>
      <c r="F1344" s="238"/>
      <c r="G1344" s="238"/>
      <c r="H1344" s="239">
        <f>INSUMOS!E41</f>
        <v>0.48</v>
      </c>
      <c r="I1344" s="234">
        <f>H1344*D1344</f>
        <v>8.16</v>
      </c>
    </row>
    <row r="1345" spans="2:12" ht="15" customHeight="1" x14ac:dyDescent="0.2">
      <c r="B1345" s="403" t="s">
        <v>158</v>
      </c>
      <c r="C1345" s="411" t="s">
        <v>32</v>
      </c>
      <c r="D1345" s="412">
        <v>0.06</v>
      </c>
      <c r="E1345" s="238"/>
      <c r="F1345" s="238"/>
      <c r="G1345" s="238"/>
      <c r="H1345" s="239">
        <f>INSUMOS!E46</f>
        <v>70</v>
      </c>
      <c r="I1345" s="234">
        <f>H1345*D1345</f>
        <v>4.2</v>
      </c>
    </row>
    <row r="1346" spans="2:12" ht="15" customHeight="1" x14ac:dyDescent="0.2">
      <c r="B1346" s="403" t="s">
        <v>496</v>
      </c>
      <c r="C1346" s="411" t="s">
        <v>32</v>
      </c>
      <c r="D1346" s="412">
        <v>0.11</v>
      </c>
      <c r="E1346" s="238"/>
      <c r="F1346" s="238"/>
      <c r="G1346" s="238"/>
      <c r="H1346" s="239">
        <f>INSUMOS!E42</f>
        <v>68.13</v>
      </c>
      <c r="I1346" s="234">
        <f>H1346*D1346</f>
        <v>7.49</v>
      </c>
    </row>
    <row r="1347" spans="2:12" ht="14.25" customHeight="1" x14ac:dyDescent="0.2">
      <c r="B1347" s="636" t="s">
        <v>69</v>
      </c>
      <c r="C1347" s="598"/>
      <c r="D1347" s="646"/>
      <c r="E1347" s="598"/>
      <c r="F1347" s="598"/>
      <c r="G1347" s="598"/>
      <c r="H1347" s="598"/>
      <c r="I1347" s="234">
        <f>SUM(I1343:I1346)</f>
        <v>221.4</v>
      </c>
    </row>
    <row r="1348" spans="2:12" s="128" customFormat="1" ht="30" customHeight="1" x14ac:dyDescent="0.2">
      <c r="B1348" s="634" t="s">
        <v>72</v>
      </c>
      <c r="C1348" s="597"/>
      <c r="D1348" s="597"/>
      <c r="E1348" s="597"/>
      <c r="F1348" s="597"/>
      <c r="G1348" s="597"/>
      <c r="H1348" s="597"/>
      <c r="I1348" s="635"/>
    </row>
    <row r="1349" spans="2:12" x14ac:dyDescent="0.2">
      <c r="B1349" s="282" t="s">
        <v>59</v>
      </c>
      <c r="C1349" s="71" t="s">
        <v>5</v>
      </c>
      <c r="D1349" s="47" t="s">
        <v>6</v>
      </c>
      <c r="E1349" s="46"/>
      <c r="F1349" s="46"/>
      <c r="G1349" s="46"/>
      <c r="H1349" s="47" t="s">
        <v>71</v>
      </c>
      <c r="I1349" s="217" t="s">
        <v>65</v>
      </c>
    </row>
    <row r="1350" spans="2:12" ht="27" customHeight="1" x14ac:dyDescent="0.2">
      <c r="B1350" s="406" t="s">
        <v>493</v>
      </c>
      <c r="C1350" s="404" t="s">
        <v>32</v>
      </c>
      <c r="D1350" s="405">
        <f>0.3*D1343</f>
        <v>1.1339999999999999</v>
      </c>
      <c r="E1350" s="46"/>
      <c r="F1350" s="46"/>
      <c r="G1350" s="46"/>
      <c r="H1350" s="239">
        <f>I391</f>
        <v>321.38</v>
      </c>
      <c r="I1350" s="234">
        <f>D1350*H1350</f>
        <v>364.44</v>
      </c>
      <c r="K1350" s="33">
        <f>3.14*(1.32*1.32)*1.5</f>
        <v>8.2100000000000009</v>
      </c>
    </row>
    <row r="1351" spans="2:12" ht="27" customHeight="1" x14ac:dyDescent="0.2">
      <c r="B1351" s="406" t="s">
        <v>516</v>
      </c>
      <c r="C1351" s="409" t="s">
        <v>32</v>
      </c>
      <c r="D1351" s="405">
        <f>2*3.14*1.27*1.5*0.02</f>
        <v>0.23930000000000001</v>
      </c>
      <c r="E1351" s="238"/>
      <c r="F1351" s="238"/>
      <c r="G1351" s="238"/>
      <c r="H1351" s="239">
        <f>I1393</f>
        <v>342.74</v>
      </c>
      <c r="I1351" s="234">
        <f>D1351*H1351</f>
        <v>82.02</v>
      </c>
    </row>
    <row r="1352" spans="2:12" ht="15.75" customHeight="1" x14ac:dyDescent="0.2">
      <c r="B1352" s="406" t="s">
        <v>517</v>
      </c>
      <c r="C1352" s="409" t="s">
        <v>32</v>
      </c>
      <c r="D1352" s="410">
        <f>3.14*1.02*1.02*1.5</f>
        <v>4.9002999999999997</v>
      </c>
      <c r="E1352" s="238"/>
      <c r="F1352" s="238"/>
      <c r="G1352" s="238"/>
      <c r="H1352" s="239">
        <f>INSUMOS!E48</f>
        <v>36</v>
      </c>
      <c r="I1352" s="234">
        <f>D1352*H1352</f>
        <v>176.41</v>
      </c>
      <c r="K1352" s="33">
        <f>2*3.14*1.32</f>
        <v>8.2899999999999991</v>
      </c>
      <c r="L1352" s="33">
        <f>K1352*1.5*0.02</f>
        <v>0.25</v>
      </c>
    </row>
    <row r="1353" spans="2:12" ht="17.25" customHeight="1" x14ac:dyDescent="0.2">
      <c r="B1353" s="406" t="s">
        <v>483</v>
      </c>
      <c r="C1353" s="409" t="s">
        <v>32</v>
      </c>
      <c r="D1353" s="410">
        <f>3.14*(1.27*1.27)*0.65-3.14*(1.02*1.02)*0.65</f>
        <v>1.1685000000000001</v>
      </c>
      <c r="E1353" s="238"/>
      <c r="F1353" s="238"/>
      <c r="G1353" s="238"/>
      <c r="H1353" s="239">
        <f>I1051</f>
        <v>16.98</v>
      </c>
      <c r="I1353" s="234">
        <f>D1353*H1353</f>
        <v>19.84</v>
      </c>
    </row>
    <row r="1354" spans="2:12" ht="27" customHeight="1" x14ac:dyDescent="0.2">
      <c r="B1354" s="406" t="s">
        <v>540</v>
      </c>
      <c r="C1354" s="409" t="s">
        <v>32</v>
      </c>
      <c r="D1354" s="410">
        <f>3.14*(1.27*1.27)*0.05</f>
        <v>0.25319999999999998</v>
      </c>
      <c r="E1354" s="238"/>
      <c r="F1354" s="238"/>
      <c r="G1354" s="238"/>
      <c r="H1354" s="239">
        <f>I653</f>
        <v>455.59</v>
      </c>
      <c r="I1354" s="234">
        <f>D1354*H1354</f>
        <v>115.36</v>
      </c>
    </row>
    <row r="1355" spans="2:12" ht="15" customHeight="1" x14ac:dyDescent="0.2">
      <c r="B1355" s="636" t="s">
        <v>69</v>
      </c>
      <c r="C1355" s="598"/>
      <c r="D1355" s="598"/>
      <c r="E1355" s="598"/>
      <c r="F1355" s="598"/>
      <c r="G1355" s="598"/>
      <c r="H1355" s="598"/>
      <c r="I1355" s="234">
        <f>SUM(I1350:I1354)</f>
        <v>758.07</v>
      </c>
    </row>
    <row r="1356" spans="2:12" s="128" customFormat="1" ht="30" customHeight="1" x14ac:dyDescent="0.2">
      <c r="B1356" s="634" t="s">
        <v>74</v>
      </c>
      <c r="C1356" s="597"/>
      <c r="D1356" s="597"/>
      <c r="E1356" s="597"/>
      <c r="F1356" s="597"/>
      <c r="G1356" s="597"/>
      <c r="H1356" s="597"/>
      <c r="I1356" s="635"/>
      <c r="K1356" s="128">
        <f>3.14*(1.02*1.02)*1.5</f>
        <v>4.9000000000000004</v>
      </c>
    </row>
    <row r="1357" spans="2:12" ht="15.95" customHeight="1" x14ac:dyDescent="0.2">
      <c r="B1357" s="294" t="s">
        <v>59</v>
      </c>
      <c r="C1357" s="182" t="s">
        <v>5</v>
      </c>
      <c r="D1357" s="145" t="s">
        <v>6</v>
      </c>
      <c r="E1357" s="46"/>
      <c r="F1357" s="46"/>
      <c r="G1357" s="46"/>
      <c r="H1357" s="47" t="s">
        <v>71</v>
      </c>
      <c r="I1357" s="234" t="s">
        <v>65</v>
      </c>
      <c r="K1357" s="33">
        <f>K1350-K1356</f>
        <v>3.31</v>
      </c>
    </row>
    <row r="1358" spans="2:12" ht="15.95" customHeight="1" x14ac:dyDescent="0.2">
      <c r="B1358" s="407" t="s">
        <v>152</v>
      </c>
      <c r="C1358" s="404" t="s">
        <v>67</v>
      </c>
      <c r="D1358" s="405">
        <f>5.5*2</f>
        <v>11</v>
      </c>
      <c r="E1358" s="284"/>
      <c r="F1358" s="42"/>
      <c r="G1358" s="42"/>
      <c r="H1358" s="56">
        <f>INSUMOS!E19</f>
        <v>4.55</v>
      </c>
      <c r="I1358" s="234">
        <f>H1358*D1358</f>
        <v>50.05</v>
      </c>
    </row>
    <row r="1359" spans="2:12" ht="15.95" customHeight="1" x14ac:dyDescent="0.2">
      <c r="B1359" s="403" t="s">
        <v>75</v>
      </c>
      <c r="C1359" s="404" t="s">
        <v>67</v>
      </c>
      <c r="D1359" s="405">
        <f>5.5*2</f>
        <v>11</v>
      </c>
      <c r="E1359" s="285"/>
      <c r="F1359" s="42"/>
      <c r="G1359" s="42"/>
      <c r="H1359" s="56">
        <f>INSUMOS!E14</f>
        <v>3.42</v>
      </c>
      <c r="I1359" s="234">
        <f>H1359*D1359</f>
        <v>37.619999999999997</v>
      </c>
    </row>
    <row r="1360" spans="2:12" ht="15.95" customHeight="1" x14ac:dyDescent="0.2">
      <c r="B1360" s="599" t="s">
        <v>641</v>
      </c>
      <c r="C1360" s="599"/>
      <c r="D1360" s="599"/>
      <c r="E1360" s="599"/>
      <c r="F1360" s="599"/>
      <c r="G1360" s="599"/>
      <c r="H1360" s="599"/>
      <c r="I1360" s="234">
        <f>SUM(I1358:I1359)*0.9103</f>
        <v>79.81</v>
      </c>
    </row>
    <row r="1361" spans="1:9" ht="15.95" customHeight="1" x14ac:dyDescent="0.2">
      <c r="B1361" s="636" t="s">
        <v>69</v>
      </c>
      <c r="C1361" s="598"/>
      <c r="D1361" s="598"/>
      <c r="E1361" s="598"/>
      <c r="F1361" s="598"/>
      <c r="G1361" s="598"/>
      <c r="H1361" s="598"/>
      <c r="I1361" s="230">
        <f>SUM(I1358:I1360)</f>
        <v>167.48</v>
      </c>
    </row>
    <row r="1362" spans="1:9" ht="15.95" customHeight="1" x14ac:dyDescent="0.2">
      <c r="B1362" s="236" t="s">
        <v>76</v>
      </c>
      <c r="C1362" s="149">
        <v>1.1000000000000001</v>
      </c>
      <c r="D1362" s="671" t="s">
        <v>77</v>
      </c>
      <c r="E1362" s="672"/>
      <c r="F1362" s="672"/>
      <c r="G1362" s="672"/>
      <c r="H1362" s="673"/>
      <c r="I1362" s="230">
        <f>I1340+I1347+I1355+I1361</f>
        <v>1146.95</v>
      </c>
    </row>
    <row r="1363" spans="1:9" ht="15.95" customHeight="1" x14ac:dyDescent="0.2">
      <c r="B1363" s="705"/>
      <c r="C1363" s="594"/>
      <c r="D1363" s="594"/>
      <c r="E1363" s="594"/>
      <c r="F1363" s="594"/>
      <c r="G1363" s="594"/>
      <c r="H1363" s="595"/>
      <c r="I1363" s="230">
        <f>I1362/C1362</f>
        <v>1042.68</v>
      </c>
    </row>
    <row r="1364" spans="1:9" ht="15.95" customHeight="1" x14ac:dyDescent="0.2">
      <c r="B1364" s="237" t="s">
        <v>346</v>
      </c>
      <c r="C1364" s="146">
        <v>25</v>
      </c>
      <c r="D1364" s="147" t="s">
        <v>272</v>
      </c>
      <c r="E1364" s="137"/>
      <c r="F1364" s="137"/>
      <c r="G1364" s="137"/>
      <c r="H1364" s="138"/>
      <c r="I1364" s="234">
        <f>C1364/100*I1363</f>
        <v>260.67</v>
      </c>
    </row>
    <row r="1365" spans="1:9" s="128" customFormat="1" ht="30" customHeight="1" thickBot="1" x14ac:dyDescent="0.25">
      <c r="B1365" s="629" t="s">
        <v>78</v>
      </c>
      <c r="C1365" s="630"/>
      <c r="D1365" s="630"/>
      <c r="E1365" s="630"/>
      <c r="F1365" s="630"/>
      <c r="G1365" s="630"/>
      <c r="H1365" s="630"/>
      <c r="I1365" s="136">
        <f>SUM(I1363:I1364)</f>
        <v>1303.3499999999999</v>
      </c>
    </row>
    <row r="1370" spans="1:9" ht="13.5" thickBot="1" x14ac:dyDescent="0.25"/>
    <row r="1371" spans="1:9" s="128" customFormat="1" ht="30" customHeight="1" x14ac:dyDescent="0.2">
      <c r="B1371" s="279" t="s">
        <v>55</v>
      </c>
      <c r="C1371" s="488" t="s">
        <v>582</v>
      </c>
      <c r="D1371" s="709" t="s">
        <v>56</v>
      </c>
      <c r="E1371" s="709"/>
      <c r="F1371" s="709"/>
      <c r="G1371" s="709"/>
      <c r="H1371" s="709"/>
      <c r="I1371" s="710"/>
    </row>
    <row r="1372" spans="1:9" s="128" customFormat="1" ht="30" customHeight="1" x14ac:dyDescent="0.2">
      <c r="B1372" s="713" t="s">
        <v>402</v>
      </c>
      <c r="C1372" s="691"/>
      <c r="D1372" s="691"/>
      <c r="E1372" s="691"/>
      <c r="F1372" s="691"/>
      <c r="G1372" s="692"/>
      <c r="H1372" s="669" t="s">
        <v>568</v>
      </c>
      <c r="I1372" s="714"/>
    </row>
    <row r="1373" spans="1:9" s="128" customFormat="1" ht="30" customHeight="1" x14ac:dyDescent="0.2">
      <c r="B1373" s="715" t="s">
        <v>542</v>
      </c>
      <c r="C1373" s="664"/>
      <c r="D1373" s="664"/>
      <c r="E1373" s="664"/>
      <c r="F1373" s="664"/>
      <c r="G1373" s="664"/>
      <c r="H1373" s="34" t="s">
        <v>57</v>
      </c>
      <c r="I1373" s="213" t="s">
        <v>32</v>
      </c>
    </row>
    <row r="1374" spans="1:9" s="128" customFormat="1" ht="30" customHeight="1" x14ac:dyDescent="0.2">
      <c r="B1374" s="634" t="s">
        <v>58</v>
      </c>
      <c r="C1374" s="597"/>
      <c r="D1374" s="597"/>
      <c r="E1374" s="597"/>
      <c r="F1374" s="597"/>
      <c r="G1374" s="597"/>
      <c r="H1374" s="597"/>
      <c r="I1374" s="635"/>
    </row>
    <row r="1375" spans="1:9" ht="25.5" x14ac:dyDescent="0.2">
      <c r="A1375" s="93"/>
      <c r="B1375" s="214" t="s">
        <v>59</v>
      </c>
      <c r="C1375" s="173" t="s">
        <v>5</v>
      </c>
      <c r="D1375" s="36" t="s">
        <v>6</v>
      </c>
      <c r="E1375" s="36" t="s">
        <v>61</v>
      </c>
      <c r="F1375" s="36" t="s">
        <v>62</v>
      </c>
      <c r="G1375" s="36" t="s">
        <v>63</v>
      </c>
      <c r="H1375" s="36" t="s">
        <v>64</v>
      </c>
      <c r="I1375" s="215" t="s">
        <v>65</v>
      </c>
    </row>
    <row r="1376" spans="1:9" ht="15" customHeight="1" x14ac:dyDescent="0.2">
      <c r="B1376" s="403" t="s">
        <v>502</v>
      </c>
      <c r="C1376" s="404" t="s">
        <v>67</v>
      </c>
      <c r="D1376" s="405">
        <v>0.71399999999999997</v>
      </c>
      <c r="E1376" s="278"/>
      <c r="F1376" s="49"/>
      <c r="G1376" s="239">
        <f>INSUMOS!E59</f>
        <v>4.05</v>
      </c>
      <c r="H1376" s="49"/>
      <c r="I1376" s="280">
        <f>D1376*G1376</f>
        <v>2.89</v>
      </c>
    </row>
    <row r="1377" spans="2:11" ht="15.95" customHeight="1" x14ac:dyDescent="0.2">
      <c r="B1377" s="636" t="s">
        <v>69</v>
      </c>
      <c r="C1377" s="598"/>
      <c r="D1377" s="598"/>
      <c r="E1377" s="598"/>
      <c r="F1377" s="598"/>
      <c r="G1377" s="598"/>
      <c r="H1377" s="598"/>
      <c r="I1377" s="230">
        <f>SUM(I1376:I1376)</f>
        <v>2.89</v>
      </c>
    </row>
    <row r="1378" spans="2:11" s="128" customFormat="1" ht="30" customHeight="1" x14ac:dyDescent="0.2">
      <c r="B1378" s="634" t="s">
        <v>70</v>
      </c>
      <c r="C1378" s="597"/>
      <c r="D1378" s="597"/>
      <c r="E1378" s="597"/>
      <c r="F1378" s="597"/>
      <c r="G1378" s="597"/>
      <c r="H1378" s="597"/>
      <c r="I1378" s="635"/>
    </row>
    <row r="1379" spans="2:11" x14ac:dyDescent="0.2">
      <c r="B1379" s="231" t="s">
        <v>59</v>
      </c>
      <c r="C1379" s="78" t="s">
        <v>5</v>
      </c>
      <c r="D1379" s="40" t="s">
        <v>6</v>
      </c>
      <c r="E1379" s="42"/>
      <c r="F1379" s="42"/>
      <c r="G1379" s="42"/>
      <c r="H1379" s="40" t="s">
        <v>71</v>
      </c>
      <c r="I1379" s="217" t="s">
        <v>65</v>
      </c>
    </row>
    <row r="1380" spans="2:11" ht="15" customHeight="1" x14ac:dyDescent="0.2">
      <c r="B1380" s="403" t="s">
        <v>495</v>
      </c>
      <c r="C1380" s="411" t="s">
        <v>88</v>
      </c>
      <c r="D1380" s="412">
        <v>357</v>
      </c>
      <c r="E1380" s="238"/>
      <c r="F1380" s="238"/>
      <c r="G1380" s="238"/>
      <c r="H1380" s="239">
        <f>INSUMOS!E41</f>
        <v>0.48</v>
      </c>
      <c r="I1380" s="234">
        <f>H1380*D1380</f>
        <v>171.36</v>
      </c>
    </row>
    <row r="1381" spans="2:11" ht="15" customHeight="1" x14ac:dyDescent="0.2">
      <c r="B1381" s="403" t="s">
        <v>158</v>
      </c>
      <c r="C1381" s="411" t="s">
        <v>32</v>
      </c>
      <c r="D1381" s="412">
        <v>1.31</v>
      </c>
      <c r="E1381" s="238"/>
      <c r="F1381" s="238"/>
      <c r="G1381" s="238"/>
      <c r="H1381" s="239">
        <f>INSUMOS!E46</f>
        <v>70</v>
      </c>
      <c r="I1381" s="234">
        <f>H1381*D1381</f>
        <v>91.7</v>
      </c>
    </row>
    <row r="1382" spans="2:11" ht="14.25" customHeight="1" x14ac:dyDescent="0.2">
      <c r="B1382" s="636" t="s">
        <v>69</v>
      </c>
      <c r="C1382" s="598"/>
      <c r="D1382" s="646"/>
      <c r="E1382" s="598"/>
      <c r="F1382" s="598"/>
      <c r="G1382" s="598"/>
      <c r="H1382" s="598"/>
      <c r="I1382" s="234">
        <f>SUM(I1380:I1381)</f>
        <v>263.06</v>
      </c>
    </row>
    <row r="1383" spans="2:11" s="128" customFormat="1" ht="30" customHeight="1" x14ac:dyDescent="0.2">
      <c r="B1383" s="634" t="s">
        <v>72</v>
      </c>
      <c r="C1383" s="597"/>
      <c r="D1383" s="597"/>
      <c r="E1383" s="597"/>
      <c r="F1383" s="597"/>
      <c r="G1383" s="597"/>
      <c r="H1383" s="597"/>
      <c r="I1383" s="635"/>
    </row>
    <row r="1384" spans="2:11" x14ac:dyDescent="0.2">
      <c r="B1384" s="282" t="s">
        <v>59</v>
      </c>
      <c r="C1384" s="71" t="s">
        <v>5</v>
      </c>
      <c r="D1384" s="47" t="s">
        <v>6</v>
      </c>
      <c r="E1384" s="46"/>
      <c r="F1384" s="46"/>
      <c r="G1384" s="46"/>
      <c r="H1384" s="47" t="s">
        <v>71</v>
      </c>
      <c r="I1384" s="217" t="s">
        <v>65</v>
      </c>
    </row>
    <row r="1385" spans="2:11" x14ac:dyDescent="0.2">
      <c r="B1385" s="415"/>
      <c r="C1385" s="350"/>
      <c r="D1385" s="364"/>
      <c r="E1385" s="50"/>
      <c r="F1385" s="50"/>
      <c r="G1385" s="50"/>
      <c r="H1385" s="276"/>
      <c r="I1385" s="234">
        <f>D1385*H1385</f>
        <v>0</v>
      </c>
      <c r="K1385" s="33">
        <f>3.14*(1.32*1.32)*1.5</f>
        <v>8.2100000000000009</v>
      </c>
    </row>
    <row r="1386" spans="2:11" ht="14.25" customHeight="1" x14ac:dyDescent="0.2">
      <c r="B1386" s="636" t="s">
        <v>69</v>
      </c>
      <c r="C1386" s="598"/>
      <c r="D1386" s="598"/>
      <c r="E1386" s="598"/>
      <c r="F1386" s="598"/>
      <c r="G1386" s="598"/>
      <c r="H1386" s="598"/>
      <c r="I1386" s="234">
        <f>SUM(I1385:I1385)</f>
        <v>0</v>
      </c>
    </row>
    <row r="1387" spans="2:11" s="128" customFormat="1" ht="30" customHeight="1" x14ac:dyDescent="0.2">
      <c r="B1387" s="634" t="s">
        <v>74</v>
      </c>
      <c r="C1387" s="597"/>
      <c r="D1387" s="597"/>
      <c r="E1387" s="597"/>
      <c r="F1387" s="597"/>
      <c r="G1387" s="597"/>
      <c r="H1387" s="597"/>
      <c r="I1387" s="635"/>
      <c r="K1387" s="128">
        <f>3.14*(1.02*1.02)*1.5</f>
        <v>4.9000000000000004</v>
      </c>
    </row>
    <row r="1388" spans="2:11" ht="15.95" customHeight="1" x14ac:dyDescent="0.2">
      <c r="B1388" s="294" t="s">
        <v>59</v>
      </c>
      <c r="C1388" s="182" t="s">
        <v>5</v>
      </c>
      <c r="D1388" s="145" t="s">
        <v>6</v>
      </c>
      <c r="E1388" s="46"/>
      <c r="F1388" s="46"/>
      <c r="G1388" s="46"/>
      <c r="H1388" s="47" t="s">
        <v>71</v>
      </c>
      <c r="I1388" s="234" t="s">
        <v>65</v>
      </c>
      <c r="K1388" s="33">
        <f>K1385-K1387</f>
        <v>3.31</v>
      </c>
    </row>
    <row r="1389" spans="2:11" ht="15.95" customHeight="1" x14ac:dyDescent="0.2">
      <c r="B1389" s="403" t="s">
        <v>75</v>
      </c>
      <c r="C1389" s="404" t="s">
        <v>67</v>
      </c>
      <c r="D1389" s="405">
        <v>17</v>
      </c>
      <c r="E1389" s="285"/>
      <c r="F1389" s="42"/>
      <c r="G1389" s="42"/>
      <c r="H1389" s="56">
        <f>INSUMOS!E14</f>
        <v>3.42</v>
      </c>
      <c r="I1389" s="234">
        <f>H1389*D1389</f>
        <v>58.14</v>
      </c>
    </row>
    <row r="1390" spans="2:11" ht="15.95" customHeight="1" x14ac:dyDescent="0.2">
      <c r="B1390" s="599" t="s">
        <v>641</v>
      </c>
      <c r="C1390" s="599"/>
      <c r="D1390" s="599"/>
      <c r="E1390" s="599"/>
      <c r="F1390" s="599"/>
      <c r="G1390" s="599"/>
      <c r="H1390" s="599"/>
      <c r="I1390" s="234">
        <f>SUM(I1389:I1389)*0.9103</f>
        <v>52.92</v>
      </c>
    </row>
    <row r="1391" spans="2:11" ht="15.95" customHeight="1" x14ac:dyDescent="0.2">
      <c r="B1391" s="636" t="s">
        <v>69</v>
      </c>
      <c r="C1391" s="598"/>
      <c r="D1391" s="598"/>
      <c r="E1391" s="598"/>
      <c r="F1391" s="598"/>
      <c r="G1391" s="598"/>
      <c r="H1391" s="598"/>
      <c r="I1391" s="235">
        <f>SUM(I1389:I1390)</f>
        <v>111.06</v>
      </c>
    </row>
    <row r="1392" spans="2:11" ht="15.95" customHeight="1" x14ac:dyDescent="0.2">
      <c r="B1392" s="236" t="s">
        <v>76</v>
      </c>
      <c r="C1392" s="149">
        <v>1.1000000000000001</v>
      </c>
      <c r="D1392" s="671" t="s">
        <v>77</v>
      </c>
      <c r="E1392" s="672"/>
      <c r="F1392" s="672"/>
      <c r="G1392" s="672"/>
      <c r="H1392" s="673"/>
      <c r="I1392" s="235">
        <f>I1377+I1382+I1386+I1391</f>
        <v>377.01</v>
      </c>
    </row>
    <row r="1393" spans="1:11" ht="15.95" customHeight="1" x14ac:dyDescent="0.2">
      <c r="B1393" s="705"/>
      <c r="C1393" s="594"/>
      <c r="D1393" s="594"/>
      <c r="E1393" s="594"/>
      <c r="F1393" s="594"/>
      <c r="G1393" s="594"/>
      <c r="H1393" s="595"/>
      <c r="I1393" s="235">
        <f>I1392/C1392</f>
        <v>342.74</v>
      </c>
      <c r="J1393" s="33">
        <v>391.32</v>
      </c>
    </row>
    <row r="1394" spans="1:11" ht="15.95" customHeight="1" x14ac:dyDescent="0.2">
      <c r="B1394" s="237" t="s">
        <v>346</v>
      </c>
      <c r="C1394" s="146">
        <v>25</v>
      </c>
      <c r="D1394" s="147" t="s">
        <v>272</v>
      </c>
      <c r="E1394" s="137"/>
      <c r="F1394" s="137"/>
      <c r="G1394" s="137"/>
      <c r="H1394" s="138"/>
      <c r="I1394" s="234">
        <f>C1394/100*I1393</f>
        <v>85.69</v>
      </c>
    </row>
    <row r="1395" spans="1:11" s="128" customFormat="1" ht="30" customHeight="1" thickBot="1" x14ac:dyDescent="0.25">
      <c r="B1395" s="629" t="s">
        <v>78</v>
      </c>
      <c r="C1395" s="630"/>
      <c r="D1395" s="630"/>
      <c r="E1395" s="630"/>
      <c r="F1395" s="630"/>
      <c r="G1395" s="630"/>
      <c r="H1395" s="630"/>
      <c r="I1395" s="136">
        <f>SUM(I1393:I1394)</f>
        <v>428.43</v>
      </c>
    </row>
    <row r="1400" spans="1:11" ht="13.5" thickBot="1" x14ac:dyDescent="0.25"/>
    <row r="1401" spans="1:11" ht="30" customHeight="1" x14ac:dyDescent="0.2">
      <c r="B1401" s="202" t="s">
        <v>55</v>
      </c>
      <c r="C1401" s="488" t="str">
        <f>INSTALAÇÃO!B36</f>
        <v>2.15</v>
      </c>
      <c r="D1401" s="665" t="s">
        <v>56</v>
      </c>
      <c r="E1401" s="665"/>
      <c r="F1401" s="665"/>
      <c r="G1401" s="665"/>
      <c r="H1401" s="665"/>
      <c r="I1401" s="665"/>
    </row>
    <row r="1402" spans="1:11" s="128" customFormat="1" ht="30" customHeight="1" x14ac:dyDescent="0.2">
      <c r="B1402" s="666" t="s">
        <v>344</v>
      </c>
      <c r="C1402" s="667"/>
      <c r="D1402" s="667"/>
      <c r="E1402" s="667"/>
      <c r="F1402" s="667"/>
      <c r="G1402" s="668"/>
      <c r="H1402" s="669" t="s">
        <v>568</v>
      </c>
      <c r="I1402" s="670"/>
    </row>
    <row r="1403" spans="1:11" ht="31.5" customHeight="1" x14ac:dyDescent="0.2">
      <c r="B1403" s="664" t="s">
        <v>179</v>
      </c>
      <c r="C1403" s="664"/>
      <c r="D1403" s="664"/>
      <c r="E1403" s="664"/>
      <c r="F1403" s="664"/>
      <c r="G1403" s="664"/>
      <c r="H1403" s="34" t="s">
        <v>57</v>
      </c>
      <c r="I1403" s="127" t="s">
        <v>398</v>
      </c>
    </row>
    <row r="1404" spans="1:11" s="128" customFormat="1" ht="30" customHeight="1" x14ac:dyDescent="0.2">
      <c r="B1404" s="597" t="s">
        <v>58</v>
      </c>
      <c r="C1404" s="597"/>
      <c r="D1404" s="597"/>
      <c r="E1404" s="597"/>
      <c r="F1404" s="597"/>
      <c r="G1404" s="597"/>
      <c r="H1404" s="597"/>
      <c r="I1404" s="597"/>
    </row>
    <row r="1405" spans="1:11" ht="25.5" x14ac:dyDescent="0.25">
      <c r="A1405" s="93"/>
      <c r="B1405" s="35" t="s">
        <v>59</v>
      </c>
      <c r="C1405" s="173" t="s">
        <v>5</v>
      </c>
      <c r="D1405" s="36" t="s">
        <v>6</v>
      </c>
      <c r="E1405" s="36" t="s">
        <v>61</v>
      </c>
      <c r="F1405" s="36" t="s">
        <v>62</v>
      </c>
      <c r="G1405" s="36" t="s">
        <v>63</v>
      </c>
      <c r="H1405" s="36" t="s">
        <v>64</v>
      </c>
      <c r="I1405" s="37" t="s">
        <v>65</v>
      </c>
      <c r="K1405" s="109"/>
    </row>
    <row r="1406" spans="1:11" ht="15.95" customHeight="1" x14ac:dyDescent="0.2">
      <c r="B1406" s="38" t="s">
        <v>361</v>
      </c>
      <c r="C1406" s="88" t="s">
        <v>67</v>
      </c>
      <c r="D1406" s="88">
        <v>4</v>
      </c>
      <c r="E1406" s="47">
        <v>1</v>
      </c>
      <c r="F1406" s="47"/>
      <c r="G1406" s="56">
        <f>INSUMOS!E98</f>
        <v>43.27</v>
      </c>
      <c r="H1406" s="47"/>
      <c r="I1406" s="87">
        <f>D1406*E1406*G1406+D1406*F1406*H1406</f>
        <v>173.08</v>
      </c>
      <c r="K1406" s="51"/>
    </row>
    <row r="1407" spans="1:11" ht="15.95" customHeight="1" x14ac:dyDescent="0.2">
      <c r="B1407" s="598" t="s">
        <v>69</v>
      </c>
      <c r="C1407" s="598"/>
      <c r="D1407" s="598"/>
      <c r="E1407" s="598"/>
      <c r="F1407" s="598"/>
      <c r="G1407" s="598"/>
      <c r="H1407" s="598"/>
      <c r="I1407" s="95">
        <f>SUM(I1406:I1406)</f>
        <v>173.08</v>
      </c>
      <c r="K1407" s="51"/>
    </row>
    <row r="1408" spans="1:11" s="128" customFormat="1" ht="30" customHeight="1" x14ac:dyDescent="0.2">
      <c r="B1408" s="597" t="s">
        <v>70</v>
      </c>
      <c r="C1408" s="597"/>
      <c r="D1408" s="597"/>
      <c r="E1408" s="597"/>
      <c r="F1408" s="597"/>
      <c r="G1408" s="597"/>
      <c r="H1408" s="597"/>
      <c r="I1408" s="597"/>
      <c r="K1408" s="179"/>
    </row>
    <row r="1409" spans="2:11" ht="15.95" customHeight="1" x14ac:dyDescent="0.2">
      <c r="B1409" s="181" t="s">
        <v>59</v>
      </c>
      <c r="C1409" s="182" t="s">
        <v>5</v>
      </c>
      <c r="D1409" s="47" t="s">
        <v>6</v>
      </c>
      <c r="E1409" s="46"/>
      <c r="F1409" s="46"/>
      <c r="G1409" s="46"/>
      <c r="H1409" s="47" t="s">
        <v>71</v>
      </c>
      <c r="I1409" s="90" t="s">
        <v>65</v>
      </c>
      <c r="K1409" s="51"/>
    </row>
    <row r="1410" spans="2:11" ht="15.95" customHeight="1" x14ac:dyDescent="0.2">
      <c r="B1410" s="97" t="s">
        <v>180</v>
      </c>
      <c r="C1410" s="88" t="s">
        <v>88</v>
      </c>
      <c r="D1410" s="89">
        <f>600*149/1000</f>
        <v>89.4</v>
      </c>
      <c r="E1410" s="46"/>
      <c r="F1410" s="46"/>
      <c r="G1410" s="46"/>
      <c r="H1410" s="56">
        <f>INSUMOS!E148</f>
        <v>14.95</v>
      </c>
      <c r="I1410" s="90">
        <f>H1410*D1410</f>
        <v>1336.53</v>
      </c>
      <c r="J1410" s="51"/>
      <c r="K1410" s="51"/>
    </row>
    <row r="1411" spans="2:11" ht="15.95" customHeight="1" x14ac:dyDescent="0.2">
      <c r="B1411" s="97" t="s">
        <v>181</v>
      </c>
      <c r="C1411" s="85" t="s">
        <v>398</v>
      </c>
      <c r="D1411" s="89">
        <v>4</v>
      </c>
      <c r="E1411" s="46"/>
      <c r="F1411" s="46"/>
      <c r="G1411" s="46"/>
      <c r="H1411" s="56">
        <f>INSUMOS!E144</f>
        <v>300.43</v>
      </c>
      <c r="I1411" s="90">
        <f t="shared" ref="I1411:I1416" si="4">H1411*D1411</f>
        <v>1201.72</v>
      </c>
      <c r="K1411" s="51"/>
    </row>
    <row r="1412" spans="2:11" ht="15.95" customHeight="1" x14ac:dyDescent="0.2">
      <c r="B1412" s="97" t="s">
        <v>182</v>
      </c>
      <c r="C1412" s="85" t="s">
        <v>398</v>
      </c>
      <c r="D1412" s="89">
        <v>12</v>
      </c>
      <c r="E1412" s="46"/>
      <c r="F1412" s="46"/>
      <c r="G1412" s="46"/>
      <c r="H1412" s="56">
        <f>INSUMOS!E145</f>
        <v>9.41</v>
      </c>
      <c r="I1412" s="90">
        <f t="shared" si="4"/>
        <v>112.92</v>
      </c>
      <c r="K1412" s="51"/>
    </row>
    <row r="1413" spans="2:11" ht="27.75" customHeight="1" x14ac:dyDescent="0.2">
      <c r="B1413" s="123" t="s">
        <v>518</v>
      </c>
      <c r="C1413" s="85" t="s">
        <v>398</v>
      </c>
      <c r="D1413" s="89">
        <v>4</v>
      </c>
      <c r="E1413" s="46"/>
      <c r="F1413" s="46"/>
      <c r="G1413" s="46"/>
      <c r="H1413" s="56">
        <f>INSUMOS!E146</f>
        <v>7.99</v>
      </c>
      <c r="I1413" s="90">
        <f t="shared" si="4"/>
        <v>31.96</v>
      </c>
    </row>
    <row r="1414" spans="2:11" ht="15.95" customHeight="1" x14ac:dyDescent="0.2">
      <c r="B1414" s="97" t="s">
        <v>183</v>
      </c>
      <c r="C1414" s="85" t="s">
        <v>398</v>
      </c>
      <c r="D1414" s="89">
        <v>12</v>
      </c>
      <c r="E1414" s="46"/>
      <c r="F1414" s="46"/>
      <c r="G1414" s="46"/>
      <c r="H1414" s="56">
        <f>INSUMOS!E147</f>
        <v>1.52</v>
      </c>
      <c r="I1414" s="90">
        <f t="shared" si="4"/>
        <v>18.239999999999998</v>
      </c>
    </row>
    <row r="1415" spans="2:11" ht="15.95" customHeight="1" x14ac:dyDescent="0.2">
      <c r="B1415" s="97" t="s">
        <v>519</v>
      </c>
      <c r="C1415" s="85" t="s">
        <v>398</v>
      </c>
      <c r="D1415" s="89">
        <v>8</v>
      </c>
      <c r="E1415" s="46"/>
      <c r="F1415" s="46"/>
      <c r="G1415" s="46"/>
      <c r="H1415" s="56">
        <f>INSUMOS!E153</f>
        <v>3.2</v>
      </c>
      <c r="I1415" s="90">
        <f t="shared" si="4"/>
        <v>25.6</v>
      </c>
    </row>
    <row r="1416" spans="2:11" ht="15.95" customHeight="1" x14ac:dyDescent="0.2">
      <c r="B1416" s="97" t="s">
        <v>520</v>
      </c>
      <c r="C1416" s="85" t="s">
        <v>398</v>
      </c>
      <c r="D1416" s="89">
        <v>8</v>
      </c>
      <c r="E1416" s="46"/>
      <c r="F1416" s="46"/>
      <c r="G1416" s="46"/>
      <c r="H1416" s="56">
        <f>INSUMOS!E154</f>
        <v>2.23</v>
      </c>
      <c r="I1416" s="90">
        <f t="shared" si="4"/>
        <v>17.84</v>
      </c>
    </row>
    <row r="1417" spans="2:11" ht="15.95" customHeight="1" x14ac:dyDescent="0.2">
      <c r="B1417" s="598" t="s">
        <v>69</v>
      </c>
      <c r="C1417" s="598"/>
      <c r="D1417" s="598"/>
      <c r="E1417" s="598"/>
      <c r="F1417" s="598"/>
      <c r="G1417" s="598"/>
      <c r="H1417" s="598"/>
      <c r="I1417" s="90">
        <f>SUM(I1410:I1416)</f>
        <v>2744.81</v>
      </c>
    </row>
    <row r="1418" spans="2:11" s="128" customFormat="1" ht="30" customHeight="1" x14ac:dyDescent="0.2">
      <c r="B1418" s="597" t="s">
        <v>72</v>
      </c>
      <c r="C1418" s="597"/>
      <c r="D1418" s="597"/>
      <c r="E1418" s="597"/>
      <c r="F1418" s="597"/>
      <c r="G1418" s="597"/>
      <c r="H1418" s="597"/>
      <c r="I1418" s="597"/>
    </row>
    <row r="1419" spans="2:11" x14ac:dyDescent="0.2">
      <c r="B1419" s="45" t="s">
        <v>59</v>
      </c>
      <c r="C1419" s="71" t="s">
        <v>5</v>
      </c>
      <c r="D1419" s="47" t="s">
        <v>6</v>
      </c>
      <c r="E1419" s="46"/>
      <c r="F1419" s="46"/>
      <c r="G1419" s="46"/>
      <c r="H1419" s="47" t="s">
        <v>71</v>
      </c>
      <c r="I1419" s="43" t="s">
        <v>65</v>
      </c>
    </row>
    <row r="1420" spans="2:11" x14ac:dyDescent="0.2">
      <c r="B1420" s="84"/>
      <c r="C1420" s="47"/>
      <c r="D1420" s="47"/>
      <c r="E1420" s="46"/>
      <c r="F1420" s="46"/>
      <c r="G1420" s="46"/>
      <c r="H1420" s="47"/>
      <c r="I1420" s="90">
        <f>D1420*H1420</f>
        <v>0</v>
      </c>
    </row>
    <row r="1421" spans="2:11" x14ac:dyDescent="0.2">
      <c r="B1421" s="598"/>
      <c r="C1421" s="598"/>
      <c r="D1421" s="598"/>
      <c r="E1421" s="598"/>
      <c r="F1421" s="598"/>
      <c r="G1421" s="598"/>
      <c r="H1421" s="598"/>
      <c r="I1421" s="90">
        <f>SUM(I1420:I1420)</f>
        <v>0</v>
      </c>
    </row>
    <row r="1422" spans="2:11" s="128" customFormat="1" ht="30" customHeight="1" x14ac:dyDescent="0.2">
      <c r="B1422" s="597" t="s">
        <v>74</v>
      </c>
      <c r="C1422" s="597"/>
      <c r="D1422" s="597"/>
      <c r="E1422" s="597"/>
      <c r="F1422" s="597"/>
      <c r="G1422" s="597"/>
      <c r="H1422" s="597"/>
      <c r="I1422" s="597"/>
    </row>
    <row r="1423" spans="2:11" ht="15.95" customHeight="1" x14ac:dyDescent="0.2">
      <c r="B1423" s="181" t="s">
        <v>59</v>
      </c>
      <c r="C1423" s="182" t="s">
        <v>5</v>
      </c>
      <c r="D1423" s="145" t="s">
        <v>6</v>
      </c>
      <c r="E1423" s="139"/>
      <c r="F1423" s="139"/>
      <c r="G1423" s="139"/>
      <c r="H1423" s="145" t="s">
        <v>71</v>
      </c>
      <c r="I1423" s="212" t="s">
        <v>65</v>
      </c>
    </row>
    <row r="1424" spans="2:11" ht="15.95" customHeight="1" x14ac:dyDescent="0.2">
      <c r="B1424" s="111" t="s">
        <v>675</v>
      </c>
      <c r="C1424" s="71" t="s">
        <v>19</v>
      </c>
      <c r="D1424" s="47">
        <v>0.05</v>
      </c>
      <c r="E1424" s="46"/>
      <c r="F1424" s="46"/>
      <c r="G1424" s="46"/>
      <c r="H1424" s="56">
        <f>INSUMOS!E25</f>
        <v>8699.57</v>
      </c>
      <c r="I1424" s="90">
        <f t="shared" ref="I1424:I1430" si="5">D1424*H1424</f>
        <v>434.98</v>
      </c>
    </row>
    <row r="1425" spans="2:9" ht="15.95" customHeight="1" x14ac:dyDescent="0.2">
      <c r="B1425" s="111" t="s">
        <v>668</v>
      </c>
      <c r="C1425" s="71" t="s">
        <v>19</v>
      </c>
      <c r="D1425" s="47">
        <v>0.05</v>
      </c>
      <c r="E1425" s="46"/>
      <c r="F1425" s="46"/>
      <c r="G1425" s="46"/>
      <c r="H1425" s="56">
        <f>INSUMOS!E26</f>
        <v>2563.98</v>
      </c>
      <c r="I1425" s="90">
        <f t="shared" si="5"/>
        <v>128.19999999999999</v>
      </c>
    </row>
    <row r="1426" spans="2:9" ht="15.95" customHeight="1" x14ac:dyDescent="0.2">
      <c r="B1426" s="111" t="s">
        <v>188</v>
      </c>
      <c r="C1426" s="71" t="s">
        <v>67</v>
      </c>
      <c r="D1426" s="47">
        <v>5</v>
      </c>
      <c r="E1426" s="46"/>
      <c r="F1426" s="46"/>
      <c r="G1426" s="46"/>
      <c r="H1426" s="56">
        <f>INSUMOS!E27</f>
        <v>6.76</v>
      </c>
      <c r="I1426" s="90">
        <f t="shared" si="5"/>
        <v>33.799999999999997</v>
      </c>
    </row>
    <row r="1427" spans="2:9" ht="15.95" customHeight="1" x14ac:dyDescent="0.2">
      <c r="B1427" s="111" t="s">
        <v>189</v>
      </c>
      <c r="C1427" s="71" t="s">
        <v>67</v>
      </c>
      <c r="D1427" s="47">
        <v>22.65</v>
      </c>
      <c r="E1427" s="46"/>
      <c r="F1427" s="46"/>
      <c r="G1427" s="46"/>
      <c r="H1427" s="56">
        <f>INSUMOS!E28</f>
        <v>2.25</v>
      </c>
      <c r="I1427" s="90">
        <f t="shared" si="5"/>
        <v>50.96</v>
      </c>
    </row>
    <row r="1428" spans="2:9" ht="15.95" customHeight="1" x14ac:dyDescent="0.2">
      <c r="B1428" s="111" t="s">
        <v>190</v>
      </c>
      <c r="C1428" s="71" t="s">
        <v>67</v>
      </c>
      <c r="D1428" s="47">
        <v>8</v>
      </c>
      <c r="E1428" s="46"/>
      <c r="F1428" s="46"/>
      <c r="G1428" s="46"/>
      <c r="H1428" s="56">
        <f>INSUMOS!E21</f>
        <v>4.55</v>
      </c>
      <c r="I1428" s="90">
        <f t="shared" si="5"/>
        <v>36.4</v>
      </c>
    </row>
    <row r="1429" spans="2:9" ht="15.95" customHeight="1" x14ac:dyDescent="0.2">
      <c r="B1429" s="111" t="s">
        <v>191</v>
      </c>
      <c r="C1429" s="71" t="s">
        <v>67</v>
      </c>
      <c r="D1429" s="47">
        <v>13</v>
      </c>
      <c r="E1429" s="46"/>
      <c r="F1429" s="46"/>
      <c r="G1429" s="46"/>
      <c r="H1429" s="56">
        <f>INSUMOS!E29</f>
        <v>3.75</v>
      </c>
      <c r="I1429" s="90">
        <f t="shared" si="5"/>
        <v>48.75</v>
      </c>
    </row>
    <row r="1430" spans="2:9" ht="15.95" customHeight="1" x14ac:dyDescent="0.2">
      <c r="B1430" s="112" t="s">
        <v>192</v>
      </c>
      <c r="C1430" s="71" t="s">
        <v>67</v>
      </c>
      <c r="D1430" s="47">
        <v>13</v>
      </c>
      <c r="E1430" s="46"/>
      <c r="F1430" s="46"/>
      <c r="G1430" s="46"/>
      <c r="H1430" s="56">
        <f>INSUMOS!E14</f>
        <v>3.42</v>
      </c>
      <c r="I1430" s="90">
        <f t="shared" si="5"/>
        <v>44.46</v>
      </c>
    </row>
    <row r="1431" spans="2:9" ht="15.95" customHeight="1" x14ac:dyDescent="0.2">
      <c r="B1431" s="599" t="s">
        <v>641</v>
      </c>
      <c r="C1431" s="599"/>
      <c r="D1431" s="599"/>
      <c r="E1431" s="599"/>
      <c r="F1431" s="599"/>
      <c r="G1431" s="599"/>
      <c r="H1431" s="599"/>
      <c r="I1431" s="90">
        <f>SUM(I1426:I1430)*0.9103</f>
        <v>195.14</v>
      </c>
    </row>
    <row r="1432" spans="2:9" ht="15.95" customHeight="1" x14ac:dyDescent="0.2">
      <c r="B1432" s="598" t="s">
        <v>69</v>
      </c>
      <c r="C1432" s="598"/>
      <c r="D1432" s="598"/>
      <c r="E1432" s="598"/>
      <c r="F1432" s="598"/>
      <c r="G1432" s="598"/>
      <c r="H1432" s="598"/>
      <c r="I1432" s="95">
        <f>SUM(I1424:I1431)</f>
        <v>972.69</v>
      </c>
    </row>
    <row r="1433" spans="2:9" ht="15.95" customHeight="1" x14ac:dyDescent="0.2">
      <c r="B1433" s="54" t="s">
        <v>76</v>
      </c>
      <c r="C1433" s="47">
        <v>1</v>
      </c>
      <c r="D1433" s="647" t="s">
        <v>77</v>
      </c>
      <c r="E1433" s="647"/>
      <c r="F1433" s="647"/>
      <c r="G1433" s="647"/>
      <c r="H1433" s="647"/>
      <c r="I1433" s="95">
        <f>I1432+I1421+I1417+I1407</f>
        <v>3890.58</v>
      </c>
    </row>
    <row r="1434" spans="2:9" ht="15.95" customHeight="1" x14ac:dyDescent="0.2">
      <c r="B1434" s="593"/>
      <c r="C1434" s="594"/>
      <c r="D1434" s="594"/>
      <c r="E1434" s="594"/>
      <c r="F1434" s="594"/>
      <c r="G1434" s="594"/>
      <c r="H1434" s="595"/>
      <c r="I1434" s="95">
        <f>I1433/C1433</f>
        <v>3890.58</v>
      </c>
    </row>
    <row r="1435" spans="2:9" ht="15.95" customHeight="1" x14ac:dyDescent="0.2">
      <c r="B1435" s="140" t="s">
        <v>346</v>
      </c>
      <c r="C1435" s="146">
        <v>25</v>
      </c>
      <c r="D1435" s="147" t="s">
        <v>272</v>
      </c>
      <c r="E1435" s="137"/>
      <c r="F1435" s="137"/>
      <c r="G1435" s="137"/>
      <c r="H1435" s="138"/>
      <c r="I1435" s="90">
        <f>C1435/100*I1434</f>
        <v>972.65</v>
      </c>
    </row>
    <row r="1436" spans="2:9" s="128" customFormat="1" ht="30" customHeight="1" thickBot="1" x14ac:dyDescent="0.25">
      <c r="B1436" s="596" t="s">
        <v>78</v>
      </c>
      <c r="C1436" s="596"/>
      <c r="D1436" s="596"/>
      <c r="E1436" s="596"/>
      <c r="F1436" s="596"/>
      <c r="G1436" s="596"/>
      <c r="H1436" s="596"/>
      <c r="I1436" s="136">
        <f>SUM(I1434:I1435)</f>
        <v>4863.2299999999996</v>
      </c>
    </row>
    <row r="1443" spans="2:12" ht="13.5" thickBot="1" x14ac:dyDescent="0.25"/>
    <row r="1444" spans="2:12" s="337" customFormat="1" ht="30" customHeight="1" x14ac:dyDescent="0.2">
      <c r="B1444" s="338" t="s">
        <v>55</v>
      </c>
      <c r="C1444" s="339" t="str">
        <f>INSTALAÇÃO!B37</f>
        <v>2.16</v>
      </c>
      <c r="D1444" s="619" t="s">
        <v>56</v>
      </c>
      <c r="E1444" s="619"/>
      <c r="F1444" s="619"/>
      <c r="G1444" s="619"/>
      <c r="H1444" s="619"/>
      <c r="I1444" s="620"/>
      <c r="J1444" s="340"/>
    </row>
    <row r="1445" spans="2:12" s="337" customFormat="1" ht="30" customHeight="1" x14ac:dyDescent="0.2">
      <c r="B1445" s="621" t="s">
        <v>459</v>
      </c>
      <c r="C1445" s="622"/>
      <c r="D1445" s="622"/>
      <c r="E1445" s="622"/>
      <c r="F1445" s="622"/>
      <c r="G1445" s="623"/>
      <c r="H1445" s="624" t="s">
        <v>583</v>
      </c>
      <c r="I1445" s="625"/>
      <c r="J1445" s="340"/>
    </row>
    <row r="1446" spans="2:12" s="337" customFormat="1" ht="30" customHeight="1" x14ac:dyDescent="0.2">
      <c r="B1446" s="626" t="s">
        <v>525</v>
      </c>
      <c r="C1446" s="627"/>
      <c r="D1446" s="627"/>
      <c r="E1446" s="627"/>
      <c r="F1446" s="627"/>
      <c r="G1446" s="628"/>
      <c r="H1446" s="341" t="s">
        <v>57</v>
      </c>
      <c r="I1446" s="342" t="s">
        <v>398</v>
      </c>
      <c r="J1446" s="600"/>
      <c r="K1446" s="600"/>
    </row>
    <row r="1447" spans="2:12" s="337" customFormat="1" ht="30" customHeight="1" x14ac:dyDescent="0.2">
      <c r="B1447" s="601" t="s">
        <v>58</v>
      </c>
      <c r="C1447" s="602"/>
      <c r="D1447" s="602"/>
      <c r="E1447" s="602"/>
      <c r="F1447" s="602"/>
      <c r="G1447" s="602"/>
      <c r="H1447" s="602"/>
      <c r="I1447" s="603"/>
      <c r="J1447" s="600"/>
      <c r="K1447" s="600"/>
    </row>
    <row r="1448" spans="2:12" s="337" customFormat="1" ht="25.5" x14ac:dyDescent="0.2">
      <c r="B1448" s="343" t="s">
        <v>59</v>
      </c>
      <c r="C1448" s="36" t="s">
        <v>60</v>
      </c>
      <c r="D1448" s="344" t="s">
        <v>6</v>
      </c>
      <c r="E1448" s="345" t="s">
        <v>61</v>
      </c>
      <c r="F1448" s="345" t="s">
        <v>62</v>
      </c>
      <c r="G1448" s="346" t="s">
        <v>63</v>
      </c>
      <c r="H1448" s="346" t="s">
        <v>64</v>
      </c>
      <c r="I1448" s="347" t="s">
        <v>65</v>
      </c>
      <c r="J1448" s="600"/>
      <c r="K1448" s="600"/>
    </row>
    <row r="1449" spans="2:12" s="348" customFormat="1" x14ac:dyDescent="0.2">
      <c r="B1449" s="349"/>
      <c r="C1449" s="350"/>
      <c r="D1449" s="351"/>
      <c r="E1449" s="352"/>
      <c r="F1449" s="353"/>
      <c r="G1449" s="354"/>
      <c r="H1449" s="355"/>
      <c r="I1449" s="354">
        <f>D1449*G1449</f>
        <v>0</v>
      </c>
      <c r="J1449" s="122"/>
      <c r="L1449" s="356"/>
    </row>
    <row r="1450" spans="2:12" s="348" customFormat="1" ht="15" customHeight="1" x14ac:dyDescent="0.2">
      <c r="B1450" s="604" t="s">
        <v>69</v>
      </c>
      <c r="C1450" s="605"/>
      <c r="D1450" s="605"/>
      <c r="E1450" s="605"/>
      <c r="F1450" s="605"/>
      <c r="G1450" s="605"/>
      <c r="H1450" s="605"/>
      <c r="I1450" s="357">
        <f>SUM(I1449:I1449)</f>
        <v>0</v>
      </c>
      <c r="J1450" s="122"/>
    </row>
    <row r="1451" spans="2:12" s="337" customFormat="1" ht="30" customHeight="1" x14ac:dyDescent="0.2">
      <c r="B1451" s="601" t="s">
        <v>70</v>
      </c>
      <c r="C1451" s="602"/>
      <c r="D1451" s="602"/>
      <c r="E1451" s="602"/>
      <c r="F1451" s="602"/>
      <c r="G1451" s="602"/>
      <c r="H1451" s="602"/>
      <c r="I1451" s="603"/>
      <c r="J1451" s="340"/>
      <c r="K1451" s="358"/>
    </row>
    <row r="1452" spans="2:12" s="337" customFormat="1" ht="14.1" customHeight="1" x14ac:dyDescent="0.2">
      <c r="B1452" s="359" t="s">
        <v>59</v>
      </c>
      <c r="C1452" s="36" t="s">
        <v>60</v>
      </c>
      <c r="D1452" s="360" t="s">
        <v>6</v>
      </c>
      <c r="E1452" s="361"/>
      <c r="F1452" s="361"/>
      <c r="G1452" s="361"/>
      <c r="H1452" s="350" t="s">
        <v>71</v>
      </c>
      <c r="I1452" s="362" t="s">
        <v>65</v>
      </c>
      <c r="J1452" s="340"/>
    </row>
    <row r="1453" spans="2:12" s="337" customFormat="1" ht="42" customHeight="1" x14ac:dyDescent="0.2">
      <c r="B1453" s="349" t="s">
        <v>526</v>
      </c>
      <c r="C1453" s="169" t="s">
        <v>398</v>
      </c>
      <c r="D1453" s="364">
        <v>1</v>
      </c>
      <c r="E1453" s="365"/>
      <c r="F1453" s="365"/>
      <c r="G1453" s="365"/>
      <c r="H1453" s="366">
        <f>INSUMOS!E114</f>
        <v>65.2</v>
      </c>
      <c r="I1453" s="367">
        <f>D1453*H1453</f>
        <v>65.2</v>
      </c>
      <c r="J1453" s="340"/>
      <c r="K1453" s="368"/>
    </row>
    <row r="1454" spans="2:12" s="337" customFormat="1" ht="15" customHeight="1" x14ac:dyDescent="0.2">
      <c r="B1454" s="606" t="s">
        <v>69</v>
      </c>
      <c r="C1454" s="607"/>
      <c r="D1454" s="607"/>
      <c r="E1454" s="607"/>
      <c r="F1454" s="607"/>
      <c r="G1454" s="607"/>
      <c r="H1454" s="607"/>
      <c r="I1454" s="367">
        <f>SUM(I1453:I1453)</f>
        <v>65.2</v>
      </c>
      <c r="J1454" s="340"/>
    </row>
    <row r="1455" spans="2:12" s="337" customFormat="1" ht="30" customHeight="1" x14ac:dyDescent="0.2">
      <c r="B1455" s="601" t="s">
        <v>72</v>
      </c>
      <c r="C1455" s="602"/>
      <c r="D1455" s="602"/>
      <c r="E1455" s="602"/>
      <c r="F1455" s="602"/>
      <c r="G1455" s="602"/>
      <c r="H1455" s="602"/>
      <c r="I1455" s="603"/>
      <c r="J1455" s="340"/>
    </row>
    <row r="1456" spans="2:12" s="337" customFormat="1" ht="15" customHeight="1" x14ac:dyDescent="0.2">
      <c r="B1456" s="374" t="s">
        <v>59</v>
      </c>
      <c r="C1456" s="36" t="s">
        <v>60</v>
      </c>
      <c r="D1456" s="350" t="s">
        <v>6</v>
      </c>
      <c r="E1456" s="375"/>
      <c r="F1456" s="375"/>
      <c r="G1456" s="375"/>
      <c r="H1456" s="350" t="s">
        <v>71</v>
      </c>
      <c r="I1456" s="367" t="s">
        <v>65</v>
      </c>
      <c r="J1456" s="340"/>
    </row>
    <row r="1457" spans="2:10" s="337" customFormat="1" ht="15" customHeight="1" x14ac:dyDescent="0.2">
      <c r="B1457" s="376" t="s">
        <v>470</v>
      </c>
      <c r="C1457" s="350" t="s">
        <v>32</v>
      </c>
      <c r="D1457" s="377">
        <v>0.04</v>
      </c>
      <c r="E1457" s="375"/>
      <c r="F1457" s="375"/>
      <c r="G1457" s="375"/>
      <c r="H1457" s="373">
        <f>I390</f>
        <v>337.45</v>
      </c>
      <c r="I1457" s="367">
        <f>D1457*H1457</f>
        <v>13.5</v>
      </c>
      <c r="J1457" s="340"/>
    </row>
    <row r="1458" spans="2:10" s="337" customFormat="1" ht="15" customHeight="1" x14ac:dyDescent="0.2">
      <c r="B1458" s="608" t="s">
        <v>69</v>
      </c>
      <c r="C1458" s="609"/>
      <c r="D1458" s="609"/>
      <c r="E1458" s="609"/>
      <c r="F1458" s="609"/>
      <c r="G1458" s="609"/>
      <c r="H1458" s="609"/>
      <c r="I1458" s="367">
        <f>SUM(I1457:I1457)</f>
        <v>13.5</v>
      </c>
      <c r="J1458" s="340"/>
    </row>
    <row r="1459" spans="2:10" s="337" customFormat="1" ht="30" customHeight="1" x14ac:dyDescent="0.2">
      <c r="B1459" s="601" t="s">
        <v>74</v>
      </c>
      <c r="C1459" s="602"/>
      <c r="D1459" s="602"/>
      <c r="E1459" s="602"/>
      <c r="F1459" s="602"/>
      <c r="G1459" s="602"/>
      <c r="H1459" s="602"/>
      <c r="I1459" s="603"/>
      <c r="J1459" s="340"/>
    </row>
    <row r="1460" spans="2:10" s="337" customFormat="1" ht="14.1" customHeight="1" x14ac:dyDescent="0.2">
      <c r="B1460" s="378" t="s">
        <v>59</v>
      </c>
      <c r="C1460" s="36" t="s">
        <v>60</v>
      </c>
      <c r="D1460" s="379" t="s">
        <v>6</v>
      </c>
      <c r="E1460" s="365"/>
      <c r="F1460" s="365"/>
      <c r="G1460" s="365"/>
      <c r="H1460" s="350" t="s">
        <v>71</v>
      </c>
      <c r="I1460" s="362" t="s">
        <v>65</v>
      </c>
      <c r="J1460" s="340"/>
    </row>
    <row r="1461" spans="2:10" s="337" customFormat="1" ht="15" customHeight="1" x14ac:dyDescent="0.2">
      <c r="B1461" s="380" t="s">
        <v>462</v>
      </c>
      <c r="C1461" s="381" t="s">
        <v>67</v>
      </c>
      <c r="D1461" s="382">
        <v>2</v>
      </c>
      <c r="E1461" s="365"/>
      <c r="F1461" s="365"/>
      <c r="G1461" s="365"/>
      <c r="H1461" s="366">
        <f>INSUMOS!E21</f>
        <v>4.55</v>
      </c>
      <c r="I1461" s="367">
        <f>D1461*H1461</f>
        <v>9.1</v>
      </c>
      <c r="J1461" s="340"/>
    </row>
    <row r="1462" spans="2:10" s="337" customFormat="1" ht="15" customHeight="1" x14ac:dyDescent="0.2">
      <c r="B1462" s="380" t="s">
        <v>467</v>
      </c>
      <c r="C1462" s="381" t="s">
        <v>67</v>
      </c>
      <c r="D1462" s="382">
        <v>3</v>
      </c>
      <c r="E1462" s="365"/>
      <c r="F1462" s="365"/>
      <c r="G1462" s="365"/>
      <c r="H1462" s="366">
        <f>INSUMOS!E15</f>
        <v>3.42</v>
      </c>
      <c r="I1462" s="367">
        <f>D1462*H1462</f>
        <v>10.26</v>
      </c>
      <c r="J1462" s="340"/>
    </row>
    <row r="1463" spans="2:10" s="337" customFormat="1" ht="15" customHeight="1" x14ac:dyDescent="0.2">
      <c r="B1463" s="380" t="s">
        <v>152</v>
      </c>
      <c r="C1463" s="381" t="s">
        <v>67</v>
      </c>
      <c r="D1463" s="382">
        <v>1</v>
      </c>
      <c r="E1463" s="365"/>
      <c r="F1463" s="365"/>
      <c r="G1463" s="365"/>
      <c r="H1463" s="366">
        <f>INSUMOS!E19</f>
        <v>4.55</v>
      </c>
      <c r="I1463" s="367">
        <f>D1463*H1463</f>
        <v>4.55</v>
      </c>
      <c r="J1463" s="340"/>
    </row>
    <row r="1464" spans="2:10" s="337" customFormat="1" ht="15" customHeight="1" x14ac:dyDescent="0.2">
      <c r="B1464" s="599" t="s">
        <v>641</v>
      </c>
      <c r="C1464" s="599"/>
      <c r="D1464" s="599"/>
      <c r="E1464" s="599"/>
      <c r="F1464" s="599"/>
      <c r="G1464" s="599"/>
      <c r="H1464" s="599"/>
      <c r="I1464" s="357">
        <f>SUM(I1461:I1463)*0.9103</f>
        <v>21.77</v>
      </c>
      <c r="J1464" s="340"/>
    </row>
    <row r="1465" spans="2:10" s="337" customFormat="1" ht="14.1" customHeight="1" x14ac:dyDescent="0.2">
      <c r="B1465" s="608" t="s">
        <v>69</v>
      </c>
      <c r="C1465" s="609"/>
      <c r="D1465" s="609"/>
      <c r="E1465" s="609"/>
      <c r="F1465" s="609"/>
      <c r="G1465" s="609"/>
      <c r="H1465" s="609"/>
      <c r="I1465" s="357">
        <f>SUM(I1461:I1464)</f>
        <v>45.68</v>
      </c>
      <c r="J1465" s="340"/>
    </row>
    <row r="1466" spans="2:10" s="337" customFormat="1" ht="14.1" customHeight="1" x14ac:dyDescent="0.2">
      <c r="B1466" s="383" t="s">
        <v>76</v>
      </c>
      <c r="C1466" s="384">
        <v>1</v>
      </c>
      <c r="D1466" s="609" t="s">
        <v>77</v>
      </c>
      <c r="E1466" s="609"/>
      <c r="F1466" s="609"/>
      <c r="G1466" s="609"/>
      <c r="H1466" s="609"/>
      <c r="I1466" s="357">
        <f>I1465+I1458+I1454+I1450</f>
        <v>124.38</v>
      </c>
      <c r="J1466" s="340"/>
    </row>
    <row r="1467" spans="2:10" s="337" customFormat="1" ht="14.1" customHeight="1" x14ac:dyDescent="0.2">
      <c r="B1467" s="610" t="s">
        <v>463</v>
      </c>
      <c r="C1467" s="611"/>
      <c r="D1467" s="612"/>
      <c r="E1467" s="612"/>
      <c r="F1467" s="612"/>
      <c r="G1467" s="612"/>
      <c r="H1467" s="612"/>
      <c r="I1467" s="367">
        <f>I1466/C1466</f>
        <v>124.38</v>
      </c>
      <c r="J1467" s="340"/>
    </row>
    <row r="1468" spans="2:10" s="337" customFormat="1" ht="14.1" customHeight="1" x14ac:dyDescent="0.2">
      <c r="B1468" s="385" t="s">
        <v>464</v>
      </c>
      <c r="C1468" s="386">
        <v>25</v>
      </c>
      <c r="D1468" s="613" t="s">
        <v>272</v>
      </c>
      <c r="E1468" s="614"/>
      <c r="F1468" s="614"/>
      <c r="G1468" s="614"/>
      <c r="H1468" s="615"/>
      <c r="I1468" s="367">
        <f>I1467/100*C1468</f>
        <v>31.1</v>
      </c>
      <c r="J1468" s="340"/>
    </row>
    <row r="1469" spans="2:10" s="337" customFormat="1" ht="30" customHeight="1" thickBot="1" x14ac:dyDescent="0.25">
      <c r="B1469" s="616" t="s">
        <v>78</v>
      </c>
      <c r="C1469" s="617"/>
      <c r="D1469" s="617"/>
      <c r="E1469" s="617"/>
      <c r="F1469" s="617"/>
      <c r="G1469" s="617"/>
      <c r="H1469" s="618"/>
      <c r="I1469" s="136">
        <f>SUM(I1467:I1468)</f>
        <v>155.47999999999999</v>
      </c>
      <c r="J1469" s="340"/>
    </row>
    <row r="1474" spans="1:9" ht="13.5" thickBot="1" x14ac:dyDescent="0.25"/>
    <row r="1475" spans="1:9" s="128" customFormat="1" ht="30" customHeight="1" x14ac:dyDescent="0.2">
      <c r="B1475" s="202" t="s">
        <v>55</v>
      </c>
      <c r="C1475" s="488" t="str">
        <f>INSTALAÇÃO!B38</f>
        <v>2.17</v>
      </c>
      <c r="D1475" s="665" t="s">
        <v>56</v>
      </c>
      <c r="E1475" s="665"/>
      <c r="F1475" s="665"/>
      <c r="G1475" s="665"/>
      <c r="H1475" s="665"/>
      <c r="I1475" s="665"/>
    </row>
    <row r="1476" spans="1:9" s="128" customFormat="1" ht="30" customHeight="1" x14ac:dyDescent="0.2">
      <c r="B1476" s="666" t="s">
        <v>344</v>
      </c>
      <c r="C1476" s="667"/>
      <c r="D1476" s="667"/>
      <c r="E1476" s="667"/>
      <c r="F1476" s="667"/>
      <c r="G1476" s="668"/>
      <c r="H1476" s="669" t="s">
        <v>568</v>
      </c>
      <c r="I1476" s="670"/>
    </row>
    <row r="1477" spans="1:9" s="128" customFormat="1" ht="30" customHeight="1" x14ac:dyDescent="0.2">
      <c r="B1477" s="664" t="s">
        <v>584</v>
      </c>
      <c r="C1477" s="664"/>
      <c r="D1477" s="664"/>
      <c r="E1477" s="664"/>
      <c r="F1477" s="664"/>
      <c r="G1477" s="664"/>
      <c r="H1477" s="34" t="s">
        <v>57</v>
      </c>
      <c r="I1477" s="127" t="s">
        <v>398</v>
      </c>
    </row>
    <row r="1478" spans="1:9" s="128" customFormat="1" ht="30" customHeight="1" x14ac:dyDescent="0.2">
      <c r="B1478" s="597" t="s">
        <v>58</v>
      </c>
      <c r="C1478" s="597"/>
      <c r="D1478" s="597"/>
      <c r="E1478" s="597"/>
      <c r="F1478" s="597"/>
      <c r="G1478" s="597"/>
      <c r="H1478" s="597"/>
      <c r="I1478" s="597"/>
    </row>
    <row r="1479" spans="1:9" ht="25.5" x14ac:dyDescent="0.2">
      <c r="A1479" s="93"/>
      <c r="B1479" s="35" t="s">
        <v>59</v>
      </c>
      <c r="C1479" s="173" t="s">
        <v>5</v>
      </c>
      <c r="D1479" s="36" t="s">
        <v>6</v>
      </c>
      <c r="E1479" s="36" t="s">
        <v>61</v>
      </c>
      <c r="F1479" s="36" t="s">
        <v>62</v>
      </c>
      <c r="G1479" s="36" t="s">
        <v>63</v>
      </c>
      <c r="H1479" s="36" t="s">
        <v>64</v>
      </c>
      <c r="I1479" s="37" t="s">
        <v>65</v>
      </c>
    </row>
    <row r="1480" spans="1:9" ht="15.95" customHeight="1" x14ac:dyDescent="0.2">
      <c r="B1480" s="97" t="s">
        <v>128</v>
      </c>
      <c r="C1480" s="88" t="s">
        <v>67</v>
      </c>
      <c r="D1480" s="89">
        <v>1.5</v>
      </c>
      <c r="E1480" s="47"/>
      <c r="F1480" s="47"/>
      <c r="G1480" s="56">
        <f>INSUMOS!E59</f>
        <v>4.05</v>
      </c>
      <c r="I1480" s="90">
        <f>G1480*D1480</f>
        <v>6.08</v>
      </c>
    </row>
    <row r="1481" spans="1:9" ht="15.95" customHeight="1" x14ac:dyDescent="0.2">
      <c r="B1481" s="598" t="s">
        <v>69</v>
      </c>
      <c r="C1481" s="598"/>
      <c r="D1481" s="598"/>
      <c r="E1481" s="598"/>
      <c r="F1481" s="598"/>
      <c r="G1481" s="598"/>
      <c r="H1481" s="598"/>
      <c r="I1481" s="95">
        <f>SUM(I1480:I1480)</f>
        <v>6.08</v>
      </c>
    </row>
    <row r="1482" spans="1:9" s="128" customFormat="1" ht="30" customHeight="1" x14ac:dyDescent="0.2">
      <c r="B1482" s="597" t="s">
        <v>70</v>
      </c>
      <c r="C1482" s="597"/>
      <c r="D1482" s="597"/>
      <c r="E1482" s="597"/>
      <c r="F1482" s="597"/>
      <c r="G1482" s="597"/>
      <c r="H1482" s="597"/>
      <c r="I1482" s="597"/>
    </row>
    <row r="1483" spans="1:9" ht="15.95" customHeight="1" x14ac:dyDescent="0.2">
      <c r="B1483" s="181" t="s">
        <v>59</v>
      </c>
      <c r="C1483" s="182" t="s">
        <v>5</v>
      </c>
      <c r="D1483" s="47" t="s">
        <v>6</v>
      </c>
      <c r="E1483" s="46"/>
      <c r="F1483" s="46"/>
      <c r="G1483" s="46"/>
      <c r="H1483" s="47" t="s">
        <v>71</v>
      </c>
      <c r="I1483" s="90" t="s">
        <v>65</v>
      </c>
    </row>
    <row r="1484" spans="1:9" ht="15.95" customHeight="1" x14ac:dyDescent="0.2">
      <c r="B1484" s="97" t="s">
        <v>162</v>
      </c>
      <c r="C1484" s="47" t="s">
        <v>27</v>
      </c>
      <c r="D1484" s="71">
        <v>2</v>
      </c>
      <c r="E1484" s="46"/>
      <c r="F1484" s="46"/>
      <c r="G1484" s="46"/>
      <c r="H1484" s="56">
        <f>INSUMOS!E89</f>
        <v>2.7</v>
      </c>
      <c r="I1484" s="90">
        <f>H1484*D1484</f>
        <v>5.4</v>
      </c>
    </row>
    <row r="1485" spans="1:9" ht="15.95" customHeight="1" x14ac:dyDescent="0.2">
      <c r="B1485" s="97" t="s">
        <v>154</v>
      </c>
      <c r="C1485" s="47" t="s">
        <v>85</v>
      </c>
      <c r="D1485" s="71">
        <f>2*0.2*0.15+1*0.2*0.15</f>
        <v>0.09</v>
      </c>
      <c r="E1485" s="46"/>
      <c r="F1485" s="46"/>
      <c r="G1485" s="46"/>
      <c r="H1485" s="56">
        <f>INSUMOS!E90</f>
        <v>15.24</v>
      </c>
      <c r="I1485" s="90">
        <f t="shared" ref="I1485:I1497" si="6">H1485*D1485</f>
        <v>1.37</v>
      </c>
    </row>
    <row r="1486" spans="1:9" ht="15.95" customHeight="1" x14ac:dyDescent="0.2">
      <c r="B1486" s="97" t="s">
        <v>163</v>
      </c>
      <c r="C1486" s="47" t="s">
        <v>88</v>
      </c>
      <c r="D1486" s="71">
        <v>24.3</v>
      </c>
      <c r="E1486" s="46"/>
      <c r="F1486" s="46"/>
      <c r="G1486" s="46"/>
      <c r="H1486" s="56">
        <f>INSUMOS!E69</f>
        <v>3.39</v>
      </c>
      <c r="I1486" s="90">
        <f t="shared" si="6"/>
        <v>82.38</v>
      </c>
    </row>
    <row r="1487" spans="1:9" ht="15.95" customHeight="1" x14ac:dyDescent="0.2">
      <c r="B1487" s="103" t="s">
        <v>164</v>
      </c>
      <c r="C1487" s="47" t="s">
        <v>88</v>
      </c>
      <c r="D1487" s="71">
        <v>0.53</v>
      </c>
      <c r="E1487" s="46"/>
      <c r="F1487" s="46"/>
      <c r="G1487" s="46"/>
      <c r="H1487" s="56">
        <f>INSUMOS!E68</f>
        <v>8</v>
      </c>
      <c r="I1487" s="90">
        <f t="shared" si="6"/>
        <v>4.24</v>
      </c>
    </row>
    <row r="1488" spans="1:9" ht="15.95" customHeight="1" x14ac:dyDescent="0.2">
      <c r="B1488" s="103" t="s">
        <v>149</v>
      </c>
      <c r="C1488" s="47" t="s">
        <v>32</v>
      </c>
      <c r="D1488" s="71">
        <v>0.66</v>
      </c>
      <c r="E1488" s="46"/>
      <c r="F1488" s="46"/>
      <c r="G1488" s="47"/>
      <c r="H1488" s="56">
        <f>INSUMOS!E46</f>
        <v>70</v>
      </c>
      <c r="I1488" s="90">
        <f t="shared" si="6"/>
        <v>46.2</v>
      </c>
    </row>
    <row r="1489" spans="2:11" ht="15.95" customHeight="1" x14ac:dyDescent="0.2">
      <c r="B1489" s="103" t="s">
        <v>158</v>
      </c>
      <c r="C1489" s="47" t="s">
        <v>32</v>
      </c>
      <c r="D1489" s="71">
        <f>3*0.03774</f>
        <v>0.11</v>
      </c>
      <c r="E1489" s="46"/>
      <c r="F1489" s="46"/>
      <c r="G1489" s="47"/>
      <c r="H1489" s="56">
        <f>INSUMOS!E46</f>
        <v>70</v>
      </c>
      <c r="I1489" s="90">
        <f>H1489*D1489</f>
        <v>7.7</v>
      </c>
    </row>
    <row r="1490" spans="2:11" ht="15.95" customHeight="1" x14ac:dyDescent="0.2">
      <c r="B1490" s="103" t="s">
        <v>150</v>
      </c>
      <c r="C1490" s="47" t="s">
        <v>88</v>
      </c>
      <c r="D1490" s="71">
        <v>60</v>
      </c>
      <c r="E1490" s="46"/>
      <c r="F1490" s="46"/>
      <c r="G1490" s="47"/>
      <c r="H1490" s="56">
        <f>INSUMOS!E41</f>
        <v>0.48</v>
      </c>
      <c r="I1490" s="90">
        <f t="shared" si="6"/>
        <v>28.8</v>
      </c>
    </row>
    <row r="1491" spans="2:11" ht="15.95" customHeight="1" x14ac:dyDescent="0.2">
      <c r="B1491" s="38" t="s">
        <v>151</v>
      </c>
      <c r="C1491" s="47" t="s">
        <v>32</v>
      </c>
      <c r="D1491" s="71">
        <f>1.5*0.0138+2*2*0.029+1*0.029</f>
        <v>0.17</v>
      </c>
      <c r="E1491" s="46"/>
      <c r="F1491" s="46"/>
      <c r="G1491" s="46"/>
      <c r="H1491" s="56">
        <f>INSUMOS!E42</f>
        <v>68.13</v>
      </c>
      <c r="I1491" s="90">
        <f t="shared" si="6"/>
        <v>11.58</v>
      </c>
    </row>
    <row r="1492" spans="2:11" ht="15.95" customHeight="1" x14ac:dyDescent="0.2">
      <c r="B1492" s="38" t="s">
        <v>156</v>
      </c>
      <c r="C1492" s="47" t="s">
        <v>88</v>
      </c>
      <c r="D1492" s="71">
        <v>2.5</v>
      </c>
      <c r="E1492" s="46"/>
      <c r="F1492" s="46"/>
      <c r="G1492" s="46"/>
      <c r="H1492" s="56">
        <f>INSUMOS!E70</f>
        <v>0.89</v>
      </c>
      <c r="I1492" s="90">
        <f t="shared" si="6"/>
        <v>2.23</v>
      </c>
    </row>
    <row r="1493" spans="2:11" ht="15.95" customHeight="1" x14ac:dyDescent="0.2">
      <c r="B1493" s="38" t="s">
        <v>157</v>
      </c>
      <c r="C1493" s="85" t="s">
        <v>398</v>
      </c>
      <c r="D1493" s="71">
        <f>1.5*2*27</f>
        <v>81</v>
      </c>
      <c r="E1493" s="46"/>
      <c r="F1493" s="46"/>
      <c r="G1493" s="46"/>
      <c r="H1493" s="56">
        <f>INSUMOS!E60</f>
        <v>0.45</v>
      </c>
      <c r="I1493" s="90">
        <f t="shared" si="6"/>
        <v>36.450000000000003</v>
      </c>
    </row>
    <row r="1494" spans="2:11" ht="15.95" customHeight="1" x14ac:dyDescent="0.2">
      <c r="B1494" s="38" t="s">
        <v>165</v>
      </c>
      <c r="C1494" s="47" t="s">
        <v>32</v>
      </c>
      <c r="D1494" s="71">
        <f>1.7*0.3*0.3</f>
        <v>0.15</v>
      </c>
      <c r="E1494" s="46"/>
      <c r="F1494" s="46"/>
      <c r="G1494" s="46"/>
      <c r="H1494" s="56">
        <f>INSUMOS!E44</f>
        <v>53.32</v>
      </c>
      <c r="I1494" s="90">
        <f t="shared" si="6"/>
        <v>8</v>
      </c>
    </row>
    <row r="1495" spans="2:11" ht="15.95" customHeight="1" x14ac:dyDescent="0.2">
      <c r="B1495" s="38" t="s">
        <v>166</v>
      </c>
      <c r="C1495" s="47" t="s">
        <v>95</v>
      </c>
      <c r="D1495" s="71">
        <v>5</v>
      </c>
      <c r="E1495" s="46"/>
      <c r="F1495" s="46"/>
      <c r="G1495" s="46"/>
      <c r="H1495" s="56">
        <f>INSUMOS!E77</f>
        <v>12.88</v>
      </c>
      <c r="I1495" s="90">
        <f t="shared" si="6"/>
        <v>64.400000000000006</v>
      </c>
    </row>
    <row r="1496" spans="2:11" ht="34.5" customHeight="1" x14ac:dyDescent="0.2">
      <c r="B1496" s="123" t="s">
        <v>168</v>
      </c>
      <c r="C1496" s="47" t="s">
        <v>85</v>
      </c>
      <c r="D1496" s="71">
        <f>1.5*1</f>
        <v>1.5</v>
      </c>
      <c r="E1496" s="46"/>
      <c r="F1496" s="46"/>
      <c r="G1496" s="46"/>
      <c r="H1496" s="56">
        <f>INSUMOS!E80</f>
        <v>26.83</v>
      </c>
      <c r="I1496" s="90">
        <f t="shared" si="6"/>
        <v>40.25</v>
      </c>
      <c r="K1496" s="33" t="s">
        <v>169</v>
      </c>
    </row>
    <row r="1497" spans="2:11" ht="15.95" customHeight="1" x14ac:dyDescent="0.2">
      <c r="B1497" s="38" t="s">
        <v>170</v>
      </c>
      <c r="C1497" s="85" t="s">
        <v>398</v>
      </c>
      <c r="D1497" s="71">
        <v>3</v>
      </c>
      <c r="E1497" s="46"/>
      <c r="F1497" s="46"/>
      <c r="G1497" s="46"/>
      <c r="H1497" s="56">
        <f>INSUMOS!E81</f>
        <v>0.31</v>
      </c>
      <c r="I1497" s="90">
        <f t="shared" si="6"/>
        <v>0.93</v>
      </c>
    </row>
    <row r="1498" spans="2:11" ht="15.95" customHeight="1" x14ac:dyDescent="0.2">
      <c r="B1498" s="598" t="s">
        <v>69</v>
      </c>
      <c r="C1498" s="598"/>
      <c r="D1498" s="598"/>
      <c r="E1498" s="598"/>
      <c r="F1498" s="598"/>
      <c r="G1498" s="598"/>
      <c r="H1498" s="598"/>
      <c r="I1498" s="90">
        <f>SUM(I1484:I1497)</f>
        <v>339.93</v>
      </c>
    </row>
    <row r="1499" spans="2:11" s="128" customFormat="1" ht="30" customHeight="1" x14ac:dyDescent="0.2">
      <c r="B1499" s="597" t="s">
        <v>72</v>
      </c>
      <c r="C1499" s="597"/>
      <c r="D1499" s="597"/>
      <c r="E1499" s="597"/>
      <c r="F1499" s="597"/>
      <c r="G1499" s="597"/>
      <c r="H1499" s="597"/>
      <c r="I1499" s="597"/>
    </row>
    <row r="1500" spans="2:11" x14ac:dyDescent="0.2">
      <c r="B1500" s="45" t="s">
        <v>59</v>
      </c>
      <c r="C1500" s="71" t="s">
        <v>5</v>
      </c>
      <c r="D1500" s="47" t="s">
        <v>6</v>
      </c>
      <c r="E1500" s="46"/>
      <c r="F1500" s="46"/>
      <c r="G1500" s="46"/>
      <c r="H1500" s="47" t="s">
        <v>71</v>
      </c>
      <c r="I1500" s="90" t="s">
        <v>65</v>
      </c>
    </row>
    <row r="1501" spans="2:11" x14ac:dyDescent="0.2">
      <c r="B1501" s="84"/>
      <c r="C1501" s="47"/>
      <c r="D1501" s="47"/>
      <c r="E1501" s="46"/>
      <c r="F1501" s="46"/>
      <c r="G1501" s="46"/>
      <c r="H1501" s="47"/>
      <c r="I1501" s="90">
        <f>D1501*H1501</f>
        <v>0</v>
      </c>
    </row>
    <row r="1502" spans="2:11" x14ac:dyDescent="0.2">
      <c r="B1502" s="598" t="s">
        <v>69</v>
      </c>
      <c r="C1502" s="598"/>
      <c r="D1502" s="598"/>
      <c r="E1502" s="598"/>
      <c r="F1502" s="598"/>
      <c r="G1502" s="598"/>
      <c r="H1502" s="598"/>
      <c r="I1502" s="90">
        <f>SUM(I1501:I1501)</f>
        <v>0</v>
      </c>
    </row>
    <row r="1503" spans="2:11" s="128" customFormat="1" ht="30" customHeight="1" x14ac:dyDescent="0.2">
      <c r="B1503" s="597" t="s">
        <v>74</v>
      </c>
      <c r="C1503" s="597"/>
      <c r="D1503" s="597"/>
      <c r="E1503" s="597"/>
      <c r="F1503" s="597"/>
      <c r="G1503" s="597"/>
      <c r="H1503" s="597"/>
      <c r="I1503" s="597"/>
    </row>
    <row r="1504" spans="2:11" ht="15.95" customHeight="1" x14ac:dyDescent="0.2">
      <c r="B1504" s="181" t="s">
        <v>59</v>
      </c>
      <c r="C1504" s="182" t="s">
        <v>5</v>
      </c>
      <c r="D1504" s="145" t="s">
        <v>6</v>
      </c>
      <c r="E1504" s="46"/>
      <c r="F1504" s="46"/>
      <c r="G1504" s="46"/>
      <c r="H1504" s="47" t="s">
        <v>71</v>
      </c>
      <c r="I1504" s="90" t="s">
        <v>65</v>
      </c>
    </row>
    <row r="1505" spans="2:9" ht="15.95" customHeight="1" x14ac:dyDescent="0.2">
      <c r="B1505" s="53" t="s">
        <v>75</v>
      </c>
      <c r="C1505" s="71" t="s">
        <v>67</v>
      </c>
      <c r="D1505" s="47">
        <v>10</v>
      </c>
      <c r="E1505" s="46"/>
      <c r="F1505" s="46"/>
      <c r="G1505" s="46"/>
      <c r="H1505" s="56">
        <f>INSUMOS!E14</f>
        <v>3.42</v>
      </c>
      <c r="I1505" s="90">
        <f>H1505*D1505</f>
        <v>34.200000000000003</v>
      </c>
    </row>
    <row r="1506" spans="2:9" ht="15.95" customHeight="1" x14ac:dyDescent="0.2">
      <c r="B1506" s="120" t="s">
        <v>152</v>
      </c>
      <c r="C1506" s="71" t="s">
        <v>67</v>
      </c>
      <c r="D1506" s="47">
        <v>8</v>
      </c>
      <c r="E1506" s="46"/>
      <c r="F1506" s="46"/>
      <c r="G1506" s="46"/>
      <c r="H1506" s="56">
        <f>INSUMOS!E19</f>
        <v>4.55</v>
      </c>
      <c r="I1506" s="90">
        <f>H1506*D1506</f>
        <v>36.4</v>
      </c>
    </row>
    <row r="1507" spans="2:9" ht="15.95" customHeight="1" x14ac:dyDescent="0.2">
      <c r="B1507" s="599" t="s">
        <v>641</v>
      </c>
      <c r="C1507" s="599"/>
      <c r="D1507" s="599"/>
      <c r="E1507" s="599"/>
      <c r="F1507" s="599"/>
      <c r="G1507" s="599"/>
      <c r="H1507" s="599"/>
      <c r="I1507" s="90">
        <f>SUM(I1505:I1506)*0.9103</f>
        <v>64.27</v>
      </c>
    </row>
    <row r="1508" spans="2:9" ht="15.95" customHeight="1" x14ac:dyDescent="0.2">
      <c r="B1508" s="598" t="s">
        <v>69</v>
      </c>
      <c r="C1508" s="598"/>
      <c r="D1508" s="598"/>
      <c r="E1508" s="598"/>
      <c r="F1508" s="598"/>
      <c r="G1508" s="598"/>
      <c r="H1508" s="598"/>
      <c r="I1508" s="95">
        <f>SUM(I1505:I1507)</f>
        <v>134.87</v>
      </c>
    </row>
    <row r="1509" spans="2:9" ht="15.95" customHeight="1" x14ac:dyDescent="0.2">
      <c r="B1509" s="54" t="s">
        <v>76</v>
      </c>
      <c r="C1509" s="47">
        <v>1</v>
      </c>
      <c r="D1509" s="647" t="s">
        <v>77</v>
      </c>
      <c r="E1509" s="647"/>
      <c r="F1509" s="647"/>
      <c r="G1509" s="647"/>
      <c r="H1509" s="647"/>
      <c r="I1509" s="95">
        <f>I1508+I1502+I1498+I1481</f>
        <v>480.88</v>
      </c>
    </row>
    <row r="1510" spans="2:9" ht="15.95" customHeight="1" x14ac:dyDescent="0.2">
      <c r="B1510" s="593"/>
      <c r="C1510" s="594"/>
      <c r="D1510" s="594"/>
      <c r="E1510" s="594"/>
      <c r="F1510" s="594"/>
      <c r="G1510" s="594"/>
      <c r="H1510" s="595"/>
      <c r="I1510" s="95">
        <f>I1509/C1509</f>
        <v>480.88</v>
      </c>
    </row>
    <row r="1511" spans="2:9" ht="15.95" customHeight="1" x14ac:dyDescent="0.2">
      <c r="B1511" s="140" t="s">
        <v>346</v>
      </c>
      <c r="C1511" s="146">
        <v>25</v>
      </c>
      <c r="D1511" s="147" t="s">
        <v>272</v>
      </c>
      <c r="E1511" s="137"/>
      <c r="F1511" s="137"/>
      <c r="G1511" s="137"/>
      <c r="H1511" s="138"/>
      <c r="I1511" s="90">
        <f>C1511/100*I1510</f>
        <v>120.22</v>
      </c>
    </row>
    <row r="1512" spans="2:9" ht="30" customHeight="1" thickBot="1" x14ac:dyDescent="0.25">
      <c r="B1512" s="596" t="s">
        <v>78</v>
      </c>
      <c r="C1512" s="596"/>
      <c r="D1512" s="596"/>
      <c r="E1512" s="596"/>
      <c r="F1512" s="596"/>
      <c r="G1512" s="596"/>
      <c r="H1512" s="596"/>
      <c r="I1512" s="136">
        <f>SUM(I1510:I1511)</f>
        <v>601.1</v>
      </c>
    </row>
    <row r="1518" spans="2:9" ht="13.5" thickBot="1" x14ac:dyDescent="0.25"/>
    <row r="1519" spans="2:9" ht="30" customHeight="1" x14ac:dyDescent="0.2">
      <c r="B1519" s="202" t="s">
        <v>55</v>
      </c>
      <c r="C1519" s="488" t="str">
        <f>INSTALAÇÃO!B41</f>
        <v>3.2</v>
      </c>
      <c r="D1519" s="716" t="s">
        <v>56</v>
      </c>
      <c r="E1519" s="717"/>
      <c r="F1519" s="717"/>
      <c r="G1519" s="717"/>
      <c r="H1519" s="717"/>
      <c r="I1519" s="718"/>
    </row>
    <row r="1520" spans="2:9" s="128" customFormat="1" ht="30" customHeight="1" x14ac:dyDescent="0.2">
      <c r="B1520" s="690" t="s">
        <v>344</v>
      </c>
      <c r="C1520" s="691"/>
      <c r="D1520" s="691"/>
      <c r="E1520" s="691"/>
      <c r="F1520" s="691"/>
      <c r="G1520" s="692"/>
      <c r="H1520" s="669" t="s">
        <v>568</v>
      </c>
      <c r="I1520" s="670"/>
    </row>
    <row r="1521" spans="1:9" ht="30" customHeight="1" x14ac:dyDescent="0.2">
      <c r="B1521" s="719" t="s">
        <v>512</v>
      </c>
      <c r="C1521" s="720"/>
      <c r="D1521" s="720"/>
      <c r="E1521" s="720"/>
      <c r="F1521" s="720"/>
      <c r="G1521" s="721"/>
      <c r="H1521" s="34" t="s">
        <v>57</v>
      </c>
      <c r="I1521" s="127" t="s">
        <v>398</v>
      </c>
    </row>
    <row r="1522" spans="1:9" ht="30" customHeight="1" x14ac:dyDescent="0.2">
      <c r="B1522" s="722" t="s">
        <v>58</v>
      </c>
      <c r="C1522" s="723"/>
      <c r="D1522" s="723"/>
      <c r="E1522" s="723"/>
      <c r="F1522" s="723"/>
      <c r="G1522" s="723"/>
      <c r="H1522" s="723"/>
      <c r="I1522" s="724"/>
    </row>
    <row r="1523" spans="1:9" ht="25.5" x14ac:dyDescent="0.2">
      <c r="A1523" s="93"/>
      <c r="B1523" s="35" t="s">
        <v>59</v>
      </c>
      <c r="C1523" s="173" t="s">
        <v>5</v>
      </c>
      <c r="D1523" s="36" t="s">
        <v>6</v>
      </c>
      <c r="E1523" s="36" t="s">
        <v>61</v>
      </c>
      <c r="F1523" s="36" t="s">
        <v>62</v>
      </c>
      <c r="G1523" s="36" t="s">
        <v>63</v>
      </c>
      <c r="H1523" s="36" t="s">
        <v>64</v>
      </c>
      <c r="I1523" s="37" t="s">
        <v>65</v>
      </c>
    </row>
    <row r="1524" spans="1:9" ht="15.95" customHeight="1" x14ac:dyDescent="0.2">
      <c r="B1524" s="97"/>
      <c r="C1524" s="39"/>
      <c r="D1524" s="141"/>
      <c r="E1524" s="40"/>
      <c r="F1524" s="40"/>
      <c r="G1524" s="40"/>
      <c r="H1524" s="40"/>
      <c r="I1524" s="43">
        <f>H1524*D1524</f>
        <v>0</v>
      </c>
    </row>
    <row r="1525" spans="1:9" ht="15.95" customHeight="1" x14ac:dyDescent="0.2">
      <c r="B1525" s="725" t="s">
        <v>69</v>
      </c>
      <c r="C1525" s="726"/>
      <c r="D1525" s="726"/>
      <c r="E1525" s="726"/>
      <c r="F1525" s="726"/>
      <c r="G1525" s="726"/>
      <c r="H1525" s="727"/>
      <c r="I1525" s="95">
        <f>SUM(I1524:I1524)</f>
        <v>0</v>
      </c>
    </row>
    <row r="1526" spans="1:9" ht="30" customHeight="1" x14ac:dyDescent="0.2">
      <c r="B1526" s="722" t="s">
        <v>70</v>
      </c>
      <c r="C1526" s="723"/>
      <c r="D1526" s="723"/>
      <c r="E1526" s="723"/>
      <c r="F1526" s="723"/>
      <c r="G1526" s="723"/>
      <c r="H1526" s="723"/>
      <c r="I1526" s="724"/>
    </row>
    <row r="1527" spans="1:9" ht="15.95" customHeight="1" x14ac:dyDescent="0.2">
      <c r="B1527" s="96" t="s">
        <v>59</v>
      </c>
      <c r="C1527" s="78" t="s">
        <v>5</v>
      </c>
      <c r="D1527" s="40" t="s">
        <v>6</v>
      </c>
      <c r="E1527" s="42"/>
      <c r="F1527" s="42"/>
      <c r="G1527" s="42"/>
      <c r="H1527" s="40" t="s">
        <v>71</v>
      </c>
      <c r="I1527" s="43" t="s">
        <v>65</v>
      </c>
    </row>
    <row r="1528" spans="1:9" ht="15.95" customHeight="1" x14ac:dyDescent="0.2">
      <c r="B1528" s="84"/>
      <c r="C1528" s="85"/>
      <c r="D1528" s="86"/>
      <c r="E1528" s="50"/>
      <c r="F1528" s="50"/>
      <c r="G1528" s="50"/>
      <c r="H1528" s="49"/>
      <c r="I1528" s="87">
        <f>H1528*D1528</f>
        <v>0</v>
      </c>
    </row>
    <row r="1529" spans="1:9" ht="15.95" customHeight="1" x14ac:dyDescent="0.2">
      <c r="B1529" s="725" t="s">
        <v>69</v>
      </c>
      <c r="C1529" s="726"/>
      <c r="D1529" s="726"/>
      <c r="E1529" s="726"/>
      <c r="F1529" s="726"/>
      <c r="G1529" s="726"/>
      <c r="H1529" s="727"/>
      <c r="I1529" s="90">
        <f>SUM(I1528:I1528)</f>
        <v>0</v>
      </c>
    </row>
    <row r="1530" spans="1:9" ht="30" customHeight="1" x14ac:dyDescent="0.2">
      <c r="B1530" s="722" t="s">
        <v>72</v>
      </c>
      <c r="C1530" s="723"/>
      <c r="D1530" s="723"/>
      <c r="E1530" s="723"/>
      <c r="F1530" s="723"/>
      <c r="G1530" s="723"/>
      <c r="H1530" s="723"/>
      <c r="I1530" s="724"/>
    </row>
    <row r="1531" spans="1:9" ht="15.95" customHeight="1" x14ac:dyDescent="0.2">
      <c r="B1531" s="45" t="s">
        <v>59</v>
      </c>
      <c r="C1531" s="57" t="s">
        <v>5</v>
      </c>
      <c r="D1531" s="47" t="s">
        <v>6</v>
      </c>
      <c r="E1531" s="46"/>
      <c r="F1531" s="46"/>
      <c r="G1531" s="46"/>
      <c r="H1531" s="47" t="s">
        <v>71</v>
      </c>
      <c r="I1531" s="43" t="s">
        <v>65</v>
      </c>
    </row>
    <row r="1532" spans="1:9" ht="15.95" customHeight="1" x14ac:dyDescent="0.2">
      <c r="B1532" s="84"/>
      <c r="C1532" s="47"/>
      <c r="D1532" s="47"/>
      <c r="E1532" s="46"/>
      <c r="F1532" s="46"/>
      <c r="G1532" s="46"/>
      <c r="H1532" s="47"/>
      <c r="I1532" s="90">
        <f>D1532*H1532</f>
        <v>0</v>
      </c>
    </row>
    <row r="1533" spans="1:9" ht="15.95" customHeight="1" x14ac:dyDescent="0.2">
      <c r="B1533" s="725" t="s">
        <v>69</v>
      </c>
      <c r="C1533" s="726"/>
      <c r="D1533" s="726"/>
      <c r="E1533" s="726"/>
      <c r="F1533" s="726"/>
      <c r="G1533" s="726"/>
      <c r="H1533" s="727"/>
      <c r="I1533" s="90">
        <f>SUM(I1532:I1532)</f>
        <v>0</v>
      </c>
    </row>
    <row r="1534" spans="1:9" ht="30" customHeight="1" x14ac:dyDescent="0.2">
      <c r="B1534" s="722" t="s">
        <v>74</v>
      </c>
      <c r="C1534" s="723"/>
      <c r="D1534" s="723"/>
      <c r="E1534" s="723"/>
      <c r="F1534" s="723"/>
      <c r="G1534" s="723"/>
      <c r="H1534" s="723"/>
      <c r="I1534" s="724"/>
    </row>
    <row r="1535" spans="1:9" ht="15.95" customHeight="1" x14ac:dyDescent="0.2">
      <c r="B1535" s="96" t="s">
        <v>59</v>
      </c>
      <c r="C1535" s="78" t="s">
        <v>5</v>
      </c>
      <c r="D1535" s="110" t="s">
        <v>6</v>
      </c>
      <c r="E1535" s="42"/>
      <c r="F1535" s="42"/>
      <c r="G1535" s="42"/>
      <c r="H1535" s="40" t="s">
        <v>71</v>
      </c>
      <c r="I1535" s="43" t="s">
        <v>65</v>
      </c>
    </row>
    <row r="1536" spans="1:9" ht="15.95" customHeight="1" x14ac:dyDescent="0.2">
      <c r="B1536" s="53" t="s">
        <v>100</v>
      </c>
      <c r="C1536" s="71" t="s">
        <v>67</v>
      </c>
      <c r="D1536" s="47">
        <v>0.5</v>
      </c>
      <c r="E1536" s="46"/>
      <c r="F1536" s="46"/>
      <c r="G1536" s="46"/>
      <c r="H1536" s="56">
        <f>INSUMOS!E17</f>
        <v>8.52</v>
      </c>
      <c r="I1536" s="90">
        <f>H1536*D1536</f>
        <v>4.26</v>
      </c>
    </row>
    <row r="1537" spans="2:9" ht="15.95" customHeight="1" x14ac:dyDescent="0.2">
      <c r="B1537" s="91" t="s">
        <v>75</v>
      </c>
      <c r="C1537" s="71" t="s">
        <v>67</v>
      </c>
      <c r="D1537" s="47">
        <v>2</v>
      </c>
      <c r="E1537" s="46"/>
      <c r="F1537" s="46"/>
      <c r="G1537" s="46"/>
      <c r="H1537" s="56">
        <f>INSUMOS!E14</f>
        <v>3.42</v>
      </c>
      <c r="I1537" s="90">
        <f>H1537*D1537</f>
        <v>6.84</v>
      </c>
    </row>
    <row r="1538" spans="2:9" ht="15.95" customHeight="1" x14ac:dyDescent="0.2">
      <c r="B1538" s="599" t="s">
        <v>641</v>
      </c>
      <c r="C1538" s="599"/>
      <c r="D1538" s="599"/>
      <c r="E1538" s="599"/>
      <c r="F1538" s="599"/>
      <c r="G1538" s="599"/>
      <c r="H1538" s="599"/>
      <c r="I1538" s="90">
        <f>SUM(I1536:I1537)*0.9103</f>
        <v>10.1</v>
      </c>
    </row>
    <row r="1539" spans="2:9" ht="15.95" customHeight="1" x14ac:dyDescent="0.2">
      <c r="B1539" s="725" t="s">
        <v>69</v>
      </c>
      <c r="C1539" s="726"/>
      <c r="D1539" s="726"/>
      <c r="E1539" s="726"/>
      <c r="F1539" s="726"/>
      <c r="G1539" s="726"/>
      <c r="H1539" s="727"/>
      <c r="I1539" s="92">
        <f>SUM(I1536:I1538)</f>
        <v>21.2</v>
      </c>
    </row>
    <row r="1540" spans="2:9" ht="15.95" customHeight="1" x14ac:dyDescent="0.2">
      <c r="B1540" s="148" t="s">
        <v>76</v>
      </c>
      <c r="C1540" s="149">
        <v>1</v>
      </c>
      <c r="D1540" s="671" t="s">
        <v>77</v>
      </c>
      <c r="E1540" s="672"/>
      <c r="F1540" s="672"/>
      <c r="G1540" s="672"/>
      <c r="H1540" s="673"/>
      <c r="I1540" s="92">
        <f>I1525+I1529+I1533+I1539</f>
        <v>21.2</v>
      </c>
    </row>
    <row r="1541" spans="2:9" ht="15.95" customHeight="1" x14ac:dyDescent="0.2">
      <c r="B1541" s="593"/>
      <c r="C1541" s="594"/>
      <c r="D1541" s="594"/>
      <c r="E1541" s="594"/>
      <c r="F1541" s="594"/>
      <c r="G1541" s="594"/>
      <c r="H1541" s="595"/>
      <c r="I1541" s="92">
        <f>I1540/C1540</f>
        <v>21.2</v>
      </c>
    </row>
    <row r="1542" spans="2:9" ht="15.95" customHeight="1" x14ac:dyDescent="0.2">
      <c r="B1542" s="140" t="s">
        <v>346</v>
      </c>
      <c r="C1542" s="146">
        <v>25</v>
      </c>
      <c r="D1542" s="147" t="s">
        <v>272</v>
      </c>
      <c r="E1542" s="137"/>
      <c r="F1542" s="137"/>
      <c r="G1542" s="137"/>
      <c r="H1542" s="138"/>
      <c r="I1542" s="90">
        <f>C1542/100*I1541</f>
        <v>5.3</v>
      </c>
    </row>
    <row r="1543" spans="2:9" ht="30" customHeight="1" thickBot="1" x14ac:dyDescent="0.25">
      <c r="B1543" s="728" t="s">
        <v>78</v>
      </c>
      <c r="C1543" s="729"/>
      <c r="D1543" s="729"/>
      <c r="E1543" s="729"/>
      <c r="F1543" s="729"/>
      <c r="G1543" s="729"/>
      <c r="H1543" s="730"/>
      <c r="I1543" s="136">
        <f>SUM(I1541:I1542)</f>
        <v>26.5</v>
      </c>
    </row>
    <row r="1548" spans="2:9" ht="13.5" thickBot="1" x14ac:dyDescent="0.25"/>
    <row r="1549" spans="2:9" ht="30" customHeight="1" x14ac:dyDescent="0.2">
      <c r="B1549" s="202" t="s">
        <v>55</v>
      </c>
      <c r="C1549" s="488" t="str">
        <f>INSTALAÇÃO!B49</f>
        <v>4.2</v>
      </c>
      <c r="D1549" s="665" t="s">
        <v>56</v>
      </c>
      <c r="E1549" s="665"/>
      <c r="F1549" s="665"/>
      <c r="G1549" s="665"/>
      <c r="H1549" s="665"/>
      <c r="I1549" s="665"/>
    </row>
    <row r="1550" spans="2:9" s="128" customFormat="1" ht="30" customHeight="1" x14ac:dyDescent="0.2">
      <c r="B1550" s="666" t="s">
        <v>344</v>
      </c>
      <c r="C1550" s="667"/>
      <c r="D1550" s="667"/>
      <c r="E1550" s="667"/>
      <c r="F1550" s="667"/>
      <c r="G1550" s="668"/>
      <c r="H1550" s="669" t="s">
        <v>568</v>
      </c>
      <c r="I1550" s="670"/>
    </row>
    <row r="1551" spans="2:9" ht="30" customHeight="1" x14ac:dyDescent="0.2">
      <c r="B1551" s="694" t="s">
        <v>193</v>
      </c>
      <c r="C1551" s="632"/>
      <c r="D1551" s="632"/>
      <c r="E1551" s="632"/>
      <c r="F1551" s="632"/>
      <c r="G1551" s="633"/>
      <c r="H1551" s="34" t="s">
        <v>57</v>
      </c>
      <c r="I1551" s="127" t="s">
        <v>398</v>
      </c>
    </row>
    <row r="1552" spans="2:9" s="128" customFormat="1" ht="30" customHeight="1" x14ac:dyDescent="0.2">
      <c r="B1552" s="597" t="s">
        <v>58</v>
      </c>
      <c r="C1552" s="597"/>
      <c r="D1552" s="597"/>
      <c r="E1552" s="597"/>
      <c r="F1552" s="597"/>
      <c r="G1552" s="597"/>
      <c r="H1552" s="597"/>
      <c r="I1552" s="597"/>
    </row>
    <row r="1553" spans="1:11" ht="25.5" x14ac:dyDescent="0.2">
      <c r="A1553" s="93"/>
      <c r="B1553" s="35" t="s">
        <v>59</v>
      </c>
      <c r="C1553" s="173" t="s">
        <v>5</v>
      </c>
      <c r="D1553" s="36" t="s">
        <v>6</v>
      </c>
      <c r="E1553" s="36" t="s">
        <v>61</v>
      </c>
      <c r="F1553" s="36" t="s">
        <v>62</v>
      </c>
      <c r="G1553" s="36" t="s">
        <v>63</v>
      </c>
      <c r="H1553" s="36" t="s">
        <v>64</v>
      </c>
      <c r="I1553" s="37" t="s">
        <v>65</v>
      </c>
    </row>
    <row r="1554" spans="1:11" ht="12.75" customHeight="1" x14ac:dyDescent="0.2">
      <c r="B1554" s="97"/>
      <c r="C1554" s="39"/>
      <c r="D1554" s="141"/>
      <c r="E1554" s="40"/>
      <c r="F1554" s="40"/>
      <c r="G1554" s="40"/>
      <c r="H1554" s="40"/>
      <c r="I1554" s="43">
        <f>H1554*D1554</f>
        <v>0</v>
      </c>
    </row>
    <row r="1555" spans="1:11" x14ac:dyDescent="0.2">
      <c r="B1555" s="598" t="s">
        <v>69</v>
      </c>
      <c r="C1555" s="598"/>
      <c r="D1555" s="598"/>
      <c r="E1555" s="598"/>
      <c r="F1555" s="598"/>
      <c r="G1555" s="598"/>
      <c r="H1555" s="598"/>
      <c r="I1555" s="95">
        <f>SUM(I1554:I1554)</f>
        <v>0</v>
      </c>
    </row>
    <row r="1556" spans="1:11" s="128" customFormat="1" ht="30" customHeight="1" x14ac:dyDescent="0.2">
      <c r="B1556" s="597" t="s">
        <v>70</v>
      </c>
      <c r="C1556" s="597"/>
      <c r="D1556" s="597"/>
      <c r="E1556" s="597"/>
      <c r="F1556" s="597"/>
      <c r="G1556" s="597"/>
      <c r="H1556" s="597"/>
      <c r="I1556" s="597"/>
    </row>
    <row r="1557" spans="1:11" s="128" customFormat="1" ht="15.95" customHeight="1" x14ac:dyDescent="0.2">
      <c r="B1557" s="181" t="s">
        <v>59</v>
      </c>
      <c r="C1557" s="182" t="s">
        <v>5</v>
      </c>
      <c r="D1557" s="47" t="s">
        <v>6</v>
      </c>
      <c r="E1557" s="46"/>
      <c r="F1557" s="46"/>
      <c r="G1557" s="46"/>
      <c r="H1557" s="47" t="s">
        <v>71</v>
      </c>
      <c r="I1557" s="90" t="s">
        <v>65</v>
      </c>
    </row>
    <row r="1558" spans="1:11" s="128" customFormat="1" ht="15.95" customHeight="1" x14ac:dyDescent="0.2">
      <c r="B1558" s="91" t="s">
        <v>171</v>
      </c>
      <c r="C1558" s="47" t="s">
        <v>88</v>
      </c>
      <c r="D1558" s="47">
        <f>0.65*D633</f>
        <v>221</v>
      </c>
      <c r="E1558" s="46"/>
      <c r="F1558" s="46"/>
      <c r="G1558" s="36"/>
      <c r="H1558" s="56">
        <f>INSUMOS!E41</f>
        <v>0.48</v>
      </c>
      <c r="I1558" s="90">
        <f>D1558*H1558</f>
        <v>106.08</v>
      </c>
    </row>
    <row r="1559" spans="1:11" s="128" customFormat="1" ht="15.95" customHeight="1" x14ac:dyDescent="0.2">
      <c r="B1559" s="91" t="s">
        <v>173</v>
      </c>
      <c r="C1559" s="47" t="s">
        <v>32</v>
      </c>
      <c r="D1559" s="183">
        <f>0.65*D634</f>
        <v>0.41099999999999998</v>
      </c>
      <c r="E1559" s="46"/>
      <c r="F1559" s="46"/>
      <c r="G1559" s="36"/>
      <c r="H1559" s="56">
        <f>INSUMOS!E47</f>
        <v>70</v>
      </c>
      <c r="I1559" s="90">
        <f>D1559*H1559</f>
        <v>28.77</v>
      </c>
    </row>
    <row r="1560" spans="1:11" s="128" customFormat="1" ht="15.95" customHeight="1" x14ac:dyDescent="0.2">
      <c r="B1560" s="91" t="s">
        <v>174</v>
      </c>
      <c r="C1560" s="47" t="s">
        <v>32</v>
      </c>
      <c r="D1560" s="47">
        <f>0.65*D635</f>
        <v>0.24</v>
      </c>
      <c r="E1560" s="46"/>
      <c r="F1560" s="46"/>
      <c r="G1560" s="46"/>
      <c r="H1560" s="56">
        <f>INSUMOS!E42</f>
        <v>68.13</v>
      </c>
      <c r="I1560" s="90">
        <f>H1560*D1560</f>
        <v>16.350000000000001</v>
      </c>
    </row>
    <row r="1561" spans="1:11" s="128" customFormat="1" ht="15.95" customHeight="1" x14ac:dyDescent="0.2">
      <c r="B1561" s="91" t="s">
        <v>175</v>
      </c>
      <c r="C1561" s="47" t="s">
        <v>32</v>
      </c>
      <c r="D1561" s="47">
        <f>0.65*D636</f>
        <v>0.24</v>
      </c>
      <c r="E1561" s="46"/>
      <c r="F1561" s="46"/>
      <c r="G1561" s="46"/>
      <c r="H1561" s="56">
        <f>INSUMOS!E43</f>
        <v>65.8</v>
      </c>
      <c r="I1561" s="90">
        <f>H1561*D1561</f>
        <v>15.79</v>
      </c>
    </row>
    <row r="1562" spans="1:11" s="128" customFormat="1" ht="25.5" x14ac:dyDescent="0.2">
      <c r="B1562" s="178" t="s">
        <v>194</v>
      </c>
      <c r="C1562" s="71" t="s">
        <v>27</v>
      </c>
      <c r="D1562" s="47">
        <v>65</v>
      </c>
      <c r="E1562" s="46"/>
      <c r="F1562" s="46"/>
      <c r="G1562" s="46"/>
      <c r="H1562" s="56">
        <f>INSUMOS!E151</f>
        <v>19.63</v>
      </c>
      <c r="I1562" s="90">
        <f>H1562*D1562</f>
        <v>1275.95</v>
      </c>
      <c r="K1562" s="128">
        <v>21011</v>
      </c>
    </row>
    <row r="1563" spans="1:11" ht="15.95" customHeight="1" x14ac:dyDescent="0.2">
      <c r="B1563" s="84" t="s">
        <v>595</v>
      </c>
      <c r="C1563" s="146" t="s">
        <v>398</v>
      </c>
      <c r="D1563" s="86">
        <v>1</v>
      </c>
      <c r="E1563" s="50"/>
      <c r="F1563" s="50"/>
      <c r="G1563" s="50"/>
      <c r="H1563" s="56">
        <f>INSUMOS!E71</f>
        <v>295.35000000000002</v>
      </c>
      <c r="I1563" s="87">
        <f>H1563*D1563</f>
        <v>295.35000000000002</v>
      </c>
    </row>
    <row r="1564" spans="1:11" ht="55.5" customHeight="1" x14ac:dyDescent="0.2">
      <c r="B1564" s="123" t="s">
        <v>195</v>
      </c>
      <c r="C1564" s="146" t="s">
        <v>398</v>
      </c>
      <c r="D1564" s="71">
        <v>1</v>
      </c>
      <c r="E1564" s="46"/>
      <c r="F1564" s="46"/>
      <c r="G1564" s="46"/>
      <c r="H1564" s="56">
        <f>INSUMOS!E54</f>
        <v>6360</v>
      </c>
      <c r="I1564" s="90">
        <f>H1564*D1564</f>
        <v>6360</v>
      </c>
      <c r="K1564" s="33" t="s">
        <v>196</v>
      </c>
    </row>
    <row r="1565" spans="1:11" ht="15.75" customHeight="1" x14ac:dyDescent="0.2">
      <c r="B1565" s="598" t="s">
        <v>69</v>
      </c>
      <c r="C1565" s="598"/>
      <c r="D1565" s="598"/>
      <c r="E1565" s="598"/>
      <c r="F1565" s="598"/>
      <c r="G1565" s="598"/>
      <c r="H1565" s="598"/>
      <c r="I1565" s="90">
        <f>SUM(I1558:I1564)</f>
        <v>8098.29</v>
      </c>
    </row>
    <row r="1566" spans="1:11" s="128" customFormat="1" ht="30" customHeight="1" x14ac:dyDescent="0.2">
      <c r="B1566" s="597" t="s">
        <v>72</v>
      </c>
      <c r="C1566" s="597"/>
      <c r="D1566" s="597"/>
      <c r="E1566" s="597"/>
      <c r="F1566" s="597"/>
      <c r="G1566" s="597"/>
      <c r="H1566" s="597"/>
      <c r="I1566" s="597"/>
    </row>
    <row r="1567" spans="1:11" x14ac:dyDescent="0.2">
      <c r="B1567" s="45" t="s">
        <v>59</v>
      </c>
      <c r="C1567" s="57" t="s">
        <v>5</v>
      </c>
      <c r="D1567" s="47" t="s">
        <v>6</v>
      </c>
      <c r="E1567" s="46"/>
      <c r="F1567" s="46"/>
      <c r="G1567" s="46"/>
      <c r="H1567" s="47" t="s">
        <v>71</v>
      </c>
      <c r="I1567" s="43" t="s">
        <v>65</v>
      </c>
    </row>
    <row r="1568" spans="1:11" x14ac:dyDescent="0.2">
      <c r="B1568" s="84"/>
      <c r="C1568" s="47"/>
      <c r="D1568" s="47"/>
      <c r="E1568" s="46"/>
      <c r="F1568" s="46"/>
      <c r="G1568" s="46"/>
      <c r="H1568" s="47"/>
      <c r="I1568" s="90">
        <f>D1568*H1568</f>
        <v>0</v>
      </c>
    </row>
    <row r="1569" spans="2:9" x14ac:dyDescent="0.2">
      <c r="B1569" s="598" t="s">
        <v>69</v>
      </c>
      <c r="C1569" s="598"/>
      <c r="D1569" s="598"/>
      <c r="E1569" s="598"/>
      <c r="F1569" s="598"/>
      <c r="G1569" s="598"/>
      <c r="H1569" s="598"/>
      <c r="I1569" s="90">
        <f>SUM(I1568:I1568)</f>
        <v>0</v>
      </c>
    </row>
    <row r="1570" spans="2:9" s="128" customFormat="1" ht="30" customHeight="1" x14ac:dyDescent="0.2">
      <c r="B1570" s="597" t="s">
        <v>74</v>
      </c>
      <c r="C1570" s="597"/>
      <c r="D1570" s="597"/>
      <c r="E1570" s="597"/>
      <c r="F1570" s="597"/>
      <c r="G1570" s="597"/>
      <c r="H1570" s="597"/>
      <c r="I1570" s="597"/>
    </row>
    <row r="1571" spans="2:9" ht="15.95" customHeight="1" x14ac:dyDescent="0.2">
      <c r="B1571" s="96" t="s">
        <v>59</v>
      </c>
      <c r="C1571" s="78" t="s">
        <v>5</v>
      </c>
      <c r="D1571" s="110" t="s">
        <v>6</v>
      </c>
      <c r="E1571" s="42"/>
      <c r="F1571" s="42"/>
      <c r="G1571" s="42"/>
      <c r="H1571" s="40" t="s">
        <v>71</v>
      </c>
      <c r="I1571" s="43" t="s">
        <v>65</v>
      </c>
    </row>
    <row r="1572" spans="2:9" ht="15.95" customHeight="1" x14ac:dyDescent="0.2">
      <c r="B1572" s="113" t="s">
        <v>197</v>
      </c>
      <c r="C1572" s="71" t="s">
        <v>67</v>
      </c>
      <c r="D1572" s="145">
        <v>7</v>
      </c>
      <c r="E1572" s="46"/>
      <c r="F1572" s="46"/>
      <c r="G1572" s="46"/>
      <c r="H1572" s="56">
        <f>INSUMOS!E29</f>
        <v>3.75</v>
      </c>
      <c r="I1572" s="90">
        <f>H1572*D1572</f>
        <v>26.25</v>
      </c>
    </row>
    <row r="1573" spans="2:9" ht="15.95" customHeight="1" x14ac:dyDescent="0.2">
      <c r="B1573" s="53" t="s">
        <v>75</v>
      </c>
      <c r="C1573" s="71" t="s">
        <v>67</v>
      </c>
      <c r="D1573" s="47">
        <v>10</v>
      </c>
      <c r="E1573" s="46"/>
      <c r="F1573" s="46"/>
      <c r="G1573" s="46"/>
      <c r="H1573" s="56">
        <f>INSUMOS!E14</f>
        <v>3.42</v>
      </c>
      <c r="I1573" s="90">
        <f>H1573*D1573</f>
        <v>34.200000000000003</v>
      </c>
    </row>
    <row r="1574" spans="2:9" ht="15.95" customHeight="1" x14ac:dyDescent="0.2">
      <c r="B1574" s="91" t="s">
        <v>121</v>
      </c>
      <c r="C1574" s="71" t="s">
        <v>67</v>
      </c>
      <c r="D1574" s="47">
        <v>7</v>
      </c>
      <c r="E1574" s="46"/>
      <c r="F1574" s="46"/>
      <c r="G1574" s="46"/>
      <c r="H1574" s="56">
        <f>INSUMOS!E24</f>
        <v>4.55</v>
      </c>
      <c r="I1574" s="90">
        <f>H1574*D1574</f>
        <v>31.85</v>
      </c>
    </row>
    <row r="1575" spans="2:9" ht="15.95" customHeight="1" x14ac:dyDescent="0.2">
      <c r="B1575" s="599" t="s">
        <v>641</v>
      </c>
      <c r="C1575" s="599"/>
      <c r="D1575" s="599"/>
      <c r="E1575" s="599"/>
      <c r="F1575" s="599"/>
      <c r="G1575" s="599"/>
      <c r="H1575" s="599"/>
      <c r="I1575" s="90">
        <f>SUM(I1572:I1574)*0.9103</f>
        <v>84.02</v>
      </c>
    </row>
    <row r="1576" spans="2:9" ht="15.95" customHeight="1" x14ac:dyDescent="0.2">
      <c r="B1576" s="598" t="s">
        <v>69</v>
      </c>
      <c r="C1576" s="598"/>
      <c r="D1576" s="598"/>
      <c r="E1576" s="598"/>
      <c r="F1576" s="598"/>
      <c r="G1576" s="598"/>
      <c r="H1576" s="598"/>
      <c r="I1576" s="95">
        <f>SUM(I1572:I1575)</f>
        <v>176.32</v>
      </c>
    </row>
    <row r="1577" spans="2:9" ht="15.95" customHeight="1" x14ac:dyDescent="0.2">
      <c r="B1577" s="54" t="s">
        <v>76</v>
      </c>
      <c r="C1577" s="47">
        <v>1</v>
      </c>
      <c r="D1577" s="647" t="s">
        <v>77</v>
      </c>
      <c r="E1577" s="647"/>
      <c r="F1577" s="647"/>
      <c r="G1577" s="647"/>
      <c r="H1577" s="647"/>
      <c r="I1577" s="95">
        <f>I1576+I1569+I1565+I1555</f>
        <v>8274.61</v>
      </c>
    </row>
    <row r="1578" spans="2:9" ht="15.95" customHeight="1" x14ac:dyDescent="0.2">
      <c r="B1578" s="593"/>
      <c r="C1578" s="594"/>
      <c r="D1578" s="594"/>
      <c r="E1578" s="594"/>
      <c r="F1578" s="594"/>
      <c r="G1578" s="594"/>
      <c r="H1578" s="595"/>
      <c r="I1578" s="95">
        <f>I1577/C1577</f>
        <v>8274.61</v>
      </c>
    </row>
    <row r="1579" spans="2:9" ht="15.95" customHeight="1" x14ac:dyDescent="0.2">
      <c r="B1579" s="140" t="s">
        <v>346</v>
      </c>
      <c r="C1579" s="146">
        <v>25</v>
      </c>
      <c r="D1579" s="147" t="s">
        <v>272</v>
      </c>
      <c r="E1579" s="137"/>
      <c r="F1579" s="137"/>
      <c r="G1579" s="137"/>
      <c r="H1579" s="138"/>
      <c r="I1579" s="90">
        <f>C1579/100*I1578</f>
        <v>2068.65</v>
      </c>
    </row>
    <row r="1580" spans="2:9" s="128" customFormat="1" ht="30" customHeight="1" thickBot="1" x14ac:dyDescent="0.25">
      <c r="B1580" s="596" t="s">
        <v>78</v>
      </c>
      <c r="C1580" s="596"/>
      <c r="D1580" s="596"/>
      <c r="E1580" s="596"/>
      <c r="F1580" s="596"/>
      <c r="G1580" s="596"/>
      <c r="H1580" s="596"/>
      <c r="I1580" s="136">
        <f>SUM(I1578:I1579)</f>
        <v>10343.26</v>
      </c>
    </row>
    <row r="1586" spans="1:11" ht="13.5" thickBot="1" x14ac:dyDescent="0.25"/>
    <row r="1587" spans="1:11" ht="30" customHeight="1" x14ac:dyDescent="0.2">
      <c r="B1587" s="202" t="s">
        <v>55</v>
      </c>
      <c r="C1587" s="488" t="str">
        <f>INSTALAÇÃO!B62</f>
        <v>5.1</v>
      </c>
      <c r="D1587" s="665" t="s">
        <v>56</v>
      </c>
      <c r="E1587" s="665"/>
      <c r="F1587" s="665"/>
      <c r="G1587" s="665"/>
      <c r="H1587" s="665"/>
      <c r="I1587" s="665"/>
    </row>
    <row r="1588" spans="1:11" s="128" customFormat="1" ht="30" customHeight="1" x14ac:dyDescent="0.2">
      <c r="B1588" s="666" t="s">
        <v>344</v>
      </c>
      <c r="C1588" s="667"/>
      <c r="D1588" s="667"/>
      <c r="E1588" s="667"/>
      <c r="F1588" s="667"/>
      <c r="G1588" s="668"/>
      <c r="H1588" s="669" t="s">
        <v>568</v>
      </c>
      <c r="I1588" s="670"/>
    </row>
    <row r="1589" spans="1:11" ht="31.5" customHeight="1" x14ac:dyDescent="0.2">
      <c r="B1589" s="664" t="s">
        <v>446</v>
      </c>
      <c r="C1589" s="664"/>
      <c r="D1589" s="664"/>
      <c r="E1589" s="664"/>
      <c r="F1589" s="664"/>
      <c r="G1589" s="664"/>
      <c r="H1589" s="34" t="s">
        <v>57</v>
      </c>
      <c r="I1589" s="127" t="s">
        <v>398</v>
      </c>
    </row>
    <row r="1590" spans="1:11" s="128" customFormat="1" ht="30" customHeight="1" x14ac:dyDescent="0.2">
      <c r="B1590" s="597" t="s">
        <v>58</v>
      </c>
      <c r="C1590" s="597"/>
      <c r="D1590" s="597"/>
      <c r="E1590" s="597"/>
      <c r="F1590" s="597"/>
      <c r="G1590" s="597"/>
      <c r="H1590" s="597"/>
      <c r="I1590" s="597"/>
    </row>
    <row r="1591" spans="1:11" ht="25.5" x14ac:dyDescent="0.25">
      <c r="A1591" s="93"/>
      <c r="B1591" s="35" t="s">
        <v>59</v>
      </c>
      <c r="C1591" s="173" t="s">
        <v>5</v>
      </c>
      <c r="D1591" s="36" t="s">
        <v>6</v>
      </c>
      <c r="E1591" s="36" t="s">
        <v>61</v>
      </c>
      <c r="F1591" s="36" t="s">
        <v>62</v>
      </c>
      <c r="G1591" s="36" t="s">
        <v>63</v>
      </c>
      <c r="H1591" s="36" t="s">
        <v>64</v>
      </c>
      <c r="I1591" s="37" t="s">
        <v>65</v>
      </c>
      <c r="K1591" s="109"/>
    </row>
    <row r="1592" spans="1:11" ht="15.95" customHeight="1" x14ac:dyDescent="0.2">
      <c r="B1592" s="38" t="s">
        <v>361</v>
      </c>
      <c r="C1592" s="88" t="s">
        <v>67</v>
      </c>
      <c r="D1592" s="88">
        <v>4</v>
      </c>
      <c r="E1592" s="47">
        <v>1</v>
      </c>
      <c r="F1592" s="47"/>
      <c r="G1592" s="56">
        <f>INSUMOS!E98</f>
        <v>43.27</v>
      </c>
      <c r="H1592" s="47"/>
      <c r="I1592" s="87">
        <f>D1592*E1592*G1592+D1592*F1592*H1592</f>
        <v>173.08</v>
      </c>
      <c r="K1592" s="51"/>
    </row>
    <row r="1593" spans="1:11" ht="15.95" customHeight="1" x14ac:dyDescent="0.2">
      <c r="B1593" s="598" t="s">
        <v>69</v>
      </c>
      <c r="C1593" s="598"/>
      <c r="D1593" s="598"/>
      <c r="E1593" s="598"/>
      <c r="F1593" s="598"/>
      <c r="G1593" s="598"/>
      <c r="H1593" s="598"/>
      <c r="I1593" s="95">
        <f>SUM(I1592:I1592)</f>
        <v>173.08</v>
      </c>
      <c r="K1593" s="51"/>
    </row>
    <row r="1594" spans="1:11" s="128" customFormat="1" ht="30" customHeight="1" x14ac:dyDescent="0.2">
      <c r="B1594" s="597" t="s">
        <v>70</v>
      </c>
      <c r="C1594" s="597"/>
      <c r="D1594" s="597"/>
      <c r="E1594" s="597"/>
      <c r="F1594" s="597"/>
      <c r="G1594" s="597"/>
      <c r="H1594" s="597"/>
      <c r="I1594" s="597"/>
      <c r="K1594" s="179"/>
    </row>
    <row r="1595" spans="1:11" ht="15.95" customHeight="1" x14ac:dyDescent="0.2">
      <c r="B1595" s="181" t="s">
        <v>59</v>
      </c>
      <c r="C1595" s="182" t="s">
        <v>5</v>
      </c>
      <c r="D1595" s="47" t="s">
        <v>6</v>
      </c>
      <c r="E1595" s="46"/>
      <c r="F1595" s="46"/>
      <c r="G1595" s="46"/>
      <c r="H1595" s="47" t="s">
        <v>71</v>
      </c>
      <c r="I1595" s="90" t="s">
        <v>65</v>
      </c>
      <c r="K1595" s="51"/>
    </row>
    <row r="1596" spans="1:11" ht="15.95" customHeight="1" x14ac:dyDescent="0.2">
      <c r="B1596" s="97" t="s">
        <v>180</v>
      </c>
      <c r="C1596" s="88" t="s">
        <v>88</v>
      </c>
      <c r="D1596" s="89">
        <v>111.75</v>
      </c>
      <c r="E1596" s="46"/>
      <c r="F1596" s="46"/>
      <c r="G1596" s="46"/>
      <c r="H1596" s="56">
        <f>INSUMOS!E148</f>
        <v>14.95</v>
      </c>
      <c r="I1596" s="90">
        <f t="shared" ref="I1596:I1602" si="7">H1596*D1596</f>
        <v>1670.66</v>
      </c>
      <c r="J1596" s="51"/>
      <c r="K1596" s="51"/>
    </row>
    <row r="1597" spans="1:11" ht="15.95" customHeight="1" x14ac:dyDescent="0.2">
      <c r="B1597" s="97" t="s">
        <v>181</v>
      </c>
      <c r="C1597" s="169" t="s">
        <v>398</v>
      </c>
      <c r="D1597" s="89">
        <v>4</v>
      </c>
      <c r="E1597" s="46"/>
      <c r="F1597" s="46"/>
      <c r="G1597" s="46"/>
      <c r="H1597" s="56">
        <f>INSUMOS!E144</f>
        <v>300.43</v>
      </c>
      <c r="I1597" s="90">
        <f t="shared" si="7"/>
        <v>1201.72</v>
      </c>
      <c r="K1597" s="51"/>
    </row>
    <row r="1598" spans="1:11" ht="15.95" customHeight="1" x14ac:dyDescent="0.2">
      <c r="B1598" s="97" t="s">
        <v>182</v>
      </c>
      <c r="C1598" s="169" t="s">
        <v>398</v>
      </c>
      <c r="D1598" s="89">
        <v>15</v>
      </c>
      <c r="E1598" s="46"/>
      <c r="F1598" s="46"/>
      <c r="G1598" s="46"/>
      <c r="H1598" s="56">
        <f>INSUMOS!E145</f>
        <v>9.41</v>
      </c>
      <c r="I1598" s="90">
        <f t="shared" si="7"/>
        <v>141.15</v>
      </c>
      <c r="K1598" s="51"/>
    </row>
    <row r="1599" spans="1:11" ht="27.75" customHeight="1" x14ac:dyDescent="0.2">
      <c r="B1599" s="123" t="s">
        <v>338</v>
      </c>
      <c r="C1599" s="169" t="s">
        <v>398</v>
      </c>
      <c r="D1599" s="89">
        <v>5</v>
      </c>
      <c r="E1599" s="46"/>
      <c r="F1599" s="46"/>
      <c r="G1599" s="46"/>
      <c r="H1599" s="56">
        <f>INSUMOS!E146</f>
        <v>7.99</v>
      </c>
      <c r="I1599" s="90">
        <f t="shared" si="7"/>
        <v>39.950000000000003</v>
      </c>
    </row>
    <row r="1600" spans="1:11" ht="15.95" customHeight="1" x14ac:dyDescent="0.2">
      <c r="B1600" s="97" t="s">
        <v>183</v>
      </c>
      <c r="C1600" s="169" t="s">
        <v>398</v>
      </c>
      <c r="D1600" s="89">
        <v>15</v>
      </c>
      <c r="E1600" s="46"/>
      <c r="F1600" s="46"/>
      <c r="G1600" s="46"/>
      <c r="H1600" s="56">
        <f>INSUMOS!E147</f>
        <v>1.52</v>
      </c>
      <c r="I1600" s="90">
        <f t="shared" si="7"/>
        <v>22.8</v>
      </c>
    </row>
    <row r="1601" spans="2:9" ht="15.95" customHeight="1" x14ac:dyDescent="0.2">
      <c r="B1601" s="97" t="s">
        <v>184</v>
      </c>
      <c r="C1601" s="169" t="s">
        <v>398</v>
      </c>
      <c r="D1601" s="89">
        <v>10</v>
      </c>
      <c r="E1601" s="46"/>
      <c r="F1601" s="46"/>
      <c r="G1601" s="46"/>
      <c r="H1601" s="56">
        <f>INSUMOS!E153</f>
        <v>3.2</v>
      </c>
      <c r="I1601" s="90">
        <f t="shared" si="7"/>
        <v>32</v>
      </c>
    </row>
    <row r="1602" spans="2:9" ht="15.95" customHeight="1" x14ac:dyDescent="0.2">
      <c r="B1602" s="97" t="s">
        <v>185</v>
      </c>
      <c r="C1602" s="169" t="s">
        <v>398</v>
      </c>
      <c r="D1602" s="89">
        <v>10</v>
      </c>
      <c r="E1602" s="46"/>
      <c r="F1602" s="46"/>
      <c r="G1602" s="46"/>
      <c r="H1602" s="56">
        <f>INSUMOS!E154</f>
        <v>2.23</v>
      </c>
      <c r="I1602" s="90">
        <f t="shared" si="7"/>
        <v>22.3</v>
      </c>
    </row>
    <row r="1603" spans="2:9" ht="15.95" customHeight="1" x14ac:dyDescent="0.2">
      <c r="B1603" s="598" t="s">
        <v>69</v>
      </c>
      <c r="C1603" s="598"/>
      <c r="D1603" s="598"/>
      <c r="E1603" s="598"/>
      <c r="F1603" s="598"/>
      <c r="G1603" s="598"/>
      <c r="H1603" s="598"/>
      <c r="I1603" s="90">
        <f>SUM(I1596:I1602)</f>
        <v>3130.58</v>
      </c>
    </row>
    <row r="1604" spans="2:9" s="128" customFormat="1" ht="30" customHeight="1" x14ac:dyDescent="0.2">
      <c r="B1604" s="597" t="s">
        <v>72</v>
      </c>
      <c r="C1604" s="597"/>
      <c r="D1604" s="597"/>
      <c r="E1604" s="597"/>
      <c r="F1604" s="597"/>
      <c r="G1604" s="597"/>
      <c r="H1604" s="597"/>
      <c r="I1604" s="597"/>
    </row>
    <row r="1605" spans="2:9" x14ac:dyDescent="0.2">
      <c r="B1605" s="45" t="s">
        <v>59</v>
      </c>
      <c r="C1605" s="57" t="s">
        <v>5</v>
      </c>
      <c r="D1605" s="47" t="s">
        <v>6</v>
      </c>
      <c r="E1605" s="46"/>
      <c r="F1605" s="46"/>
      <c r="G1605" s="46"/>
      <c r="H1605" s="47" t="s">
        <v>71</v>
      </c>
      <c r="I1605" s="43" t="s">
        <v>65</v>
      </c>
    </row>
    <row r="1606" spans="2:9" x14ac:dyDescent="0.2">
      <c r="B1606" s="84"/>
      <c r="C1606" s="47"/>
      <c r="D1606" s="47"/>
      <c r="E1606" s="46"/>
      <c r="F1606" s="46"/>
      <c r="G1606" s="46"/>
      <c r="H1606" s="47"/>
      <c r="I1606" s="90">
        <f>D1606*H1606</f>
        <v>0</v>
      </c>
    </row>
    <row r="1607" spans="2:9" x14ac:dyDescent="0.2">
      <c r="B1607" s="598"/>
      <c r="C1607" s="598"/>
      <c r="D1607" s="598"/>
      <c r="E1607" s="598"/>
      <c r="F1607" s="598"/>
      <c r="G1607" s="598"/>
      <c r="H1607" s="598"/>
      <c r="I1607" s="90">
        <f>SUM(I1606:I1606)</f>
        <v>0</v>
      </c>
    </row>
    <row r="1608" spans="2:9" s="128" customFormat="1" ht="30" customHeight="1" x14ac:dyDescent="0.2">
      <c r="B1608" s="597" t="s">
        <v>74</v>
      </c>
      <c r="C1608" s="597"/>
      <c r="D1608" s="597"/>
      <c r="E1608" s="597"/>
      <c r="F1608" s="597"/>
      <c r="G1608" s="597"/>
      <c r="H1608" s="597"/>
      <c r="I1608" s="597"/>
    </row>
    <row r="1609" spans="2:9" ht="15.95" customHeight="1" x14ac:dyDescent="0.2">
      <c r="B1609" s="181" t="s">
        <v>59</v>
      </c>
      <c r="C1609" s="182" t="s">
        <v>5</v>
      </c>
      <c r="D1609" s="145" t="s">
        <v>6</v>
      </c>
      <c r="E1609" s="139"/>
      <c r="F1609" s="139"/>
      <c r="G1609" s="139"/>
      <c r="H1609" s="145" t="s">
        <v>71</v>
      </c>
      <c r="I1609" s="212" t="s">
        <v>65</v>
      </c>
    </row>
    <row r="1610" spans="2:9" ht="15.95" customHeight="1" x14ac:dyDescent="0.2">
      <c r="B1610" s="111" t="s">
        <v>675</v>
      </c>
      <c r="C1610" s="71" t="s">
        <v>19</v>
      </c>
      <c r="D1610" s="47">
        <v>0.05</v>
      </c>
      <c r="E1610" s="46"/>
      <c r="F1610" s="46"/>
      <c r="G1610" s="46"/>
      <c r="H1610" s="56">
        <f>INSUMOS!E25</f>
        <v>8699.57</v>
      </c>
      <c r="I1610" s="90">
        <f t="shared" ref="I1610:I1616" si="8">D1610*H1610</f>
        <v>434.98</v>
      </c>
    </row>
    <row r="1611" spans="2:9" ht="15.95" customHeight="1" x14ac:dyDescent="0.2">
      <c r="B1611" s="111" t="s">
        <v>668</v>
      </c>
      <c r="C1611" s="71" t="s">
        <v>19</v>
      </c>
      <c r="D1611" s="47">
        <v>0.05</v>
      </c>
      <c r="E1611" s="46"/>
      <c r="F1611" s="46"/>
      <c r="G1611" s="46"/>
      <c r="H1611" s="56">
        <f>INSUMOS!E26</f>
        <v>2563.98</v>
      </c>
      <c r="I1611" s="90">
        <f t="shared" si="8"/>
        <v>128.19999999999999</v>
      </c>
    </row>
    <row r="1612" spans="2:9" ht="15.95" customHeight="1" x14ac:dyDescent="0.2">
      <c r="B1612" s="111" t="s">
        <v>406</v>
      </c>
      <c r="C1612" s="71" t="s">
        <v>67</v>
      </c>
      <c r="D1612" s="47">
        <v>5</v>
      </c>
      <c r="E1612" s="46"/>
      <c r="F1612" s="46"/>
      <c r="G1612" s="46"/>
      <c r="H1612" s="56">
        <f>INSUMOS!E27</f>
        <v>6.76</v>
      </c>
      <c r="I1612" s="90">
        <f t="shared" si="8"/>
        <v>33.799999999999997</v>
      </c>
    </row>
    <row r="1613" spans="2:9" ht="15.95" customHeight="1" x14ac:dyDescent="0.2">
      <c r="B1613" s="111" t="s">
        <v>445</v>
      </c>
      <c r="C1613" s="71" t="s">
        <v>67</v>
      </c>
      <c r="D1613" s="47">
        <v>22.65</v>
      </c>
      <c r="E1613" s="46"/>
      <c r="F1613" s="46"/>
      <c r="G1613" s="46"/>
      <c r="H1613" s="56">
        <f>INSUMOS!E28</f>
        <v>2.25</v>
      </c>
      <c r="I1613" s="90">
        <f t="shared" si="8"/>
        <v>50.96</v>
      </c>
    </row>
    <row r="1614" spans="2:9" ht="15.95" customHeight="1" x14ac:dyDescent="0.2">
      <c r="B1614" s="111" t="s">
        <v>444</v>
      </c>
      <c r="C1614" s="71" t="s">
        <v>67</v>
      </c>
      <c r="D1614" s="47">
        <v>8</v>
      </c>
      <c r="E1614" s="46"/>
      <c r="F1614" s="46"/>
      <c r="G1614" s="46"/>
      <c r="H1614" s="56">
        <f>INSUMOS!E21</f>
        <v>4.55</v>
      </c>
      <c r="I1614" s="90">
        <f t="shared" si="8"/>
        <v>36.4</v>
      </c>
    </row>
    <row r="1615" spans="2:9" ht="15.95" customHeight="1" x14ac:dyDescent="0.2">
      <c r="B1615" s="111" t="s">
        <v>191</v>
      </c>
      <c r="C1615" s="71" t="s">
        <v>67</v>
      </c>
      <c r="D1615" s="47">
        <v>13</v>
      </c>
      <c r="E1615" s="46"/>
      <c r="F1615" s="46"/>
      <c r="G1615" s="46"/>
      <c r="H1615" s="56">
        <f>INSUMOS!E29</f>
        <v>3.75</v>
      </c>
      <c r="I1615" s="90">
        <f t="shared" si="8"/>
        <v>48.75</v>
      </c>
    </row>
    <row r="1616" spans="2:9" ht="15.95" customHeight="1" x14ac:dyDescent="0.2">
      <c r="B1616" s="112" t="s">
        <v>75</v>
      </c>
      <c r="C1616" s="71" t="s">
        <v>67</v>
      </c>
      <c r="D1616" s="47">
        <v>13</v>
      </c>
      <c r="E1616" s="46"/>
      <c r="F1616" s="46"/>
      <c r="G1616" s="46"/>
      <c r="H1616" s="56">
        <f>INSUMOS!E14</f>
        <v>3.42</v>
      </c>
      <c r="I1616" s="90">
        <f t="shared" si="8"/>
        <v>44.46</v>
      </c>
    </row>
    <row r="1617" spans="1:9" ht="15.95" customHeight="1" x14ac:dyDescent="0.2">
      <c r="B1617" s="599" t="s">
        <v>641</v>
      </c>
      <c r="C1617" s="599"/>
      <c r="D1617" s="599"/>
      <c r="E1617" s="599"/>
      <c r="F1617" s="599"/>
      <c r="G1617" s="599"/>
      <c r="H1617" s="599"/>
      <c r="I1617" s="90">
        <f>SUM(I1612:I1616)*0.9103</f>
        <v>195.14</v>
      </c>
    </row>
    <row r="1618" spans="1:9" ht="15.95" customHeight="1" x14ac:dyDescent="0.2">
      <c r="B1618" s="598" t="s">
        <v>69</v>
      </c>
      <c r="C1618" s="598"/>
      <c r="D1618" s="598"/>
      <c r="E1618" s="598"/>
      <c r="F1618" s="598"/>
      <c r="G1618" s="598"/>
      <c r="H1618" s="598"/>
      <c r="I1618" s="95">
        <f>SUM(I1610:I1617)</f>
        <v>972.69</v>
      </c>
    </row>
    <row r="1619" spans="1:9" ht="15.95" customHeight="1" x14ac:dyDescent="0.2">
      <c r="B1619" s="54" t="s">
        <v>76</v>
      </c>
      <c r="C1619" s="47">
        <v>1</v>
      </c>
      <c r="D1619" s="647" t="s">
        <v>77</v>
      </c>
      <c r="E1619" s="647"/>
      <c r="F1619" s="647"/>
      <c r="G1619" s="647"/>
      <c r="H1619" s="647"/>
      <c r="I1619" s="95">
        <f>I1618+I1607+I1603+I1593</f>
        <v>4276.3500000000004</v>
      </c>
    </row>
    <row r="1620" spans="1:9" ht="15.95" customHeight="1" x14ac:dyDescent="0.2">
      <c r="B1620" s="593"/>
      <c r="C1620" s="594"/>
      <c r="D1620" s="594"/>
      <c r="E1620" s="594"/>
      <c r="F1620" s="594"/>
      <c r="G1620" s="594"/>
      <c r="H1620" s="595"/>
      <c r="I1620" s="95">
        <f>I1619/C1619</f>
        <v>4276.3500000000004</v>
      </c>
    </row>
    <row r="1621" spans="1:9" ht="15.95" customHeight="1" x14ac:dyDescent="0.2">
      <c r="B1621" s="140" t="s">
        <v>346</v>
      </c>
      <c r="C1621" s="146">
        <v>25</v>
      </c>
      <c r="D1621" s="147" t="s">
        <v>272</v>
      </c>
      <c r="E1621" s="137"/>
      <c r="F1621" s="137"/>
      <c r="G1621" s="137"/>
      <c r="H1621" s="138"/>
      <c r="I1621" s="90">
        <f>C1621/100*I1620</f>
        <v>1069.0899999999999</v>
      </c>
    </row>
    <row r="1622" spans="1:9" s="128" customFormat="1" ht="30" customHeight="1" thickBot="1" x14ac:dyDescent="0.25">
      <c r="B1622" s="596" t="s">
        <v>78</v>
      </c>
      <c r="C1622" s="596"/>
      <c r="D1622" s="596"/>
      <c r="E1622" s="596"/>
      <c r="F1622" s="596"/>
      <c r="G1622" s="596"/>
      <c r="H1622" s="596"/>
      <c r="I1622" s="136">
        <f>SUM(I1620:I1621)</f>
        <v>5345.44</v>
      </c>
    </row>
    <row r="1627" spans="1:9" ht="13.5" thickBot="1" x14ac:dyDescent="0.25"/>
    <row r="1628" spans="1:9" ht="30" customHeight="1" x14ac:dyDescent="0.2">
      <c r="B1628" s="332" t="s">
        <v>55</v>
      </c>
      <c r="C1628" s="488" t="str">
        <f>INSTALAÇÃO!B64</f>
        <v>5.3</v>
      </c>
      <c r="D1628" s="655" t="s">
        <v>56</v>
      </c>
      <c r="E1628" s="655"/>
      <c r="F1628" s="655"/>
      <c r="G1628" s="655"/>
      <c r="H1628" s="655"/>
      <c r="I1628" s="656"/>
    </row>
    <row r="1629" spans="1:9" s="128" customFormat="1" ht="30" customHeight="1" x14ac:dyDescent="0.2">
      <c r="B1629" s="657" t="s">
        <v>344</v>
      </c>
      <c r="C1629" s="658"/>
      <c r="D1629" s="658"/>
      <c r="E1629" s="658"/>
      <c r="F1629" s="658"/>
      <c r="G1629" s="659"/>
      <c r="H1629" s="648" t="s">
        <v>568</v>
      </c>
      <c r="I1629" s="649"/>
    </row>
    <row r="1630" spans="1:9" ht="67.5" customHeight="1" x14ac:dyDescent="0.2">
      <c r="B1630" s="631" t="s">
        <v>586</v>
      </c>
      <c r="C1630" s="632"/>
      <c r="D1630" s="632"/>
      <c r="E1630" s="632"/>
      <c r="F1630" s="632"/>
      <c r="G1630" s="633"/>
      <c r="H1630" s="34" t="s">
        <v>57</v>
      </c>
      <c r="I1630" s="127" t="s">
        <v>398</v>
      </c>
    </row>
    <row r="1631" spans="1:9" s="128" customFormat="1" ht="30" customHeight="1" x14ac:dyDescent="0.2">
      <c r="B1631" s="634" t="s">
        <v>58</v>
      </c>
      <c r="C1631" s="597"/>
      <c r="D1631" s="597"/>
      <c r="E1631" s="597"/>
      <c r="F1631" s="597"/>
      <c r="G1631" s="597"/>
      <c r="H1631" s="597"/>
      <c r="I1631" s="635"/>
    </row>
    <row r="1632" spans="1:9" ht="25.5" x14ac:dyDescent="0.2">
      <c r="A1632" s="93"/>
      <c r="B1632" s="214" t="s">
        <v>59</v>
      </c>
      <c r="C1632" s="173" t="s">
        <v>5</v>
      </c>
      <c r="D1632" s="36" t="s">
        <v>6</v>
      </c>
      <c r="E1632" s="36" t="s">
        <v>61</v>
      </c>
      <c r="F1632" s="36" t="s">
        <v>62</v>
      </c>
      <c r="G1632" s="36" t="s">
        <v>63</v>
      </c>
      <c r="H1632" s="36" t="s">
        <v>64</v>
      </c>
      <c r="I1632" s="215" t="s">
        <v>65</v>
      </c>
    </row>
    <row r="1633" spans="2:10" ht="15.95" customHeight="1" x14ac:dyDescent="0.2">
      <c r="B1633" s="216"/>
      <c r="C1633" s="39"/>
      <c r="D1633" s="141"/>
      <c r="E1633" s="40"/>
      <c r="F1633" s="40"/>
      <c r="G1633" s="40"/>
      <c r="H1633" s="40"/>
      <c r="I1633" s="217">
        <f>H1633*D1633</f>
        <v>0</v>
      </c>
    </row>
    <row r="1634" spans="2:10" x14ac:dyDescent="0.2">
      <c r="B1634" s="650" t="s">
        <v>69</v>
      </c>
      <c r="C1634" s="651"/>
      <c r="D1634" s="651"/>
      <c r="E1634" s="651"/>
      <c r="F1634" s="651"/>
      <c r="G1634" s="651"/>
      <c r="H1634" s="651"/>
      <c r="I1634" s="218">
        <f>SUM(I1633:I1633)</f>
        <v>0</v>
      </c>
    </row>
    <row r="1635" spans="2:10" s="128" customFormat="1" ht="30" customHeight="1" x14ac:dyDescent="0.2">
      <c r="B1635" s="652" t="s">
        <v>70</v>
      </c>
      <c r="C1635" s="653"/>
      <c r="D1635" s="653"/>
      <c r="E1635" s="653"/>
      <c r="F1635" s="653"/>
      <c r="G1635" s="653"/>
      <c r="H1635" s="653"/>
      <c r="I1635" s="654"/>
    </row>
    <row r="1636" spans="2:10" ht="15.95" customHeight="1" x14ac:dyDescent="0.2">
      <c r="B1636" s="228" t="s">
        <v>59</v>
      </c>
      <c r="C1636" s="166" t="s">
        <v>5</v>
      </c>
      <c r="D1636" s="146" t="s">
        <v>6</v>
      </c>
      <c r="E1636" s="167"/>
      <c r="F1636" s="167"/>
      <c r="G1636" s="167"/>
      <c r="H1636" s="146" t="s">
        <v>71</v>
      </c>
      <c r="I1636" s="221" t="s">
        <v>65</v>
      </c>
    </row>
    <row r="1637" spans="2:10" ht="15.95" customHeight="1" x14ac:dyDescent="0.2">
      <c r="B1637" s="333" t="s">
        <v>132</v>
      </c>
      <c r="C1637" s="169" t="s">
        <v>398</v>
      </c>
      <c r="D1637" s="163">
        <v>1</v>
      </c>
      <c r="E1637" s="165"/>
      <c r="F1637" s="165"/>
      <c r="G1637" s="165"/>
      <c r="H1637" s="168">
        <f>INSUMOS!E127</f>
        <v>57.77</v>
      </c>
      <c r="I1637" s="221">
        <f t="shared" ref="I1637:I1647" si="9">H1637*D1637</f>
        <v>57.77</v>
      </c>
    </row>
    <row r="1638" spans="2:10" ht="15.95" customHeight="1" x14ac:dyDescent="0.2">
      <c r="B1638" s="333" t="s">
        <v>133</v>
      </c>
      <c r="C1638" s="169" t="s">
        <v>398</v>
      </c>
      <c r="D1638" s="163">
        <v>1</v>
      </c>
      <c r="E1638" s="165"/>
      <c r="F1638" s="165"/>
      <c r="G1638" s="165"/>
      <c r="H1638" s="168">
        <f>INSUMOS!E128</f>
        <v>60.44</v>
      </c>
      <c r="I1638" s="221">
        <f t="shared" si="9"/>
        <v>60.44</v>
      </c>
    </row>
    <row r="1639" spans="2:10" ht="15.95" customHeight="1" x14ac:dyDescent="0.2">
      <c r="B1639" s="333" t="s">
        <v>134</v>
      </c>
      <c r="C1639" s="169" t="s">
        <v>398</v>
      </c>
      <c r="D1639" s="163">
        <v>2</v>
      </c>
      <c r="E1639" s="165"/>
      <c r="F1639" s="165"/>
      <c r="G1639" s="165"/>
      <c r="H1639" s="168">
        <f>INSUMOS!E129</f>
        <v>8.6999999999999993</v>
      </c>
      <c r="I1639" s="221">
        <f t="shared" si="9"/>
        <v>17.399999999999999</v>
      </c>
    </row>
    <row r="1640" spans="2:10" ht="15.95" customHeight="1" x14ac:dyDescent="0.2">
      <c r="B1640" s="333" t="s">
        <v>457</v>
      </c>
      <c r="C1640" s="169" t="s">
        <v>398</v>
      </c>
      <c r="D1640" s="163">
        <v>1</v>
      </c>
      <c r="E1640" s="165"/>
      <c r="F1640" s="165"/>
      <c r="G1640" s="165"/>
      <c r="H1640" s="168">
        <f>INSUMOS!E131</f>
        <v>16.899999999999999</v>
      </c>
      <c r="I1640" s="221">
        <f>H1640*D1640</f>
        <v>16.899999999999999</v>
      </c>
    </row>
    <row r="1641" spans="2:10" ht="15.95" customHeight="1" x14ac:dyDescent="0.2">
      <c r="B1641" s="334" t="s">
        <v>458</v>
      </c>
      <c r="C1641" s="169" t="s">
        <v>398</v>
      </c>
      <c r="D1641" s="163">
        <v>8</v>
      </c>
      <c r="E1641" s="165"/>
      <c r="F1641" s="165"/>
      <c r="G1641" s="165"/>
      <c r="H1641" s="168">
        <f>INSUMOS!E130</f>
        <v>16.649999999999999</v>
      </c>
      <c r="I1641" s="221">
        <f t="shared" si="9"/>
        <v>133.19999999999999</v>
      </c>
    </row>
    <row r="1642" spans="2:10" ht="15.95" customHeight="1" x14ac:dyDescent="0.2">
      <c r="B1642" s="220" t="s">
        <v>136</v>
      </c>
      <c r="C1642" s="146" t="s">
        <v>27</v>
      </c>
      <c r="D1642" s="166">
        <v>20</v>
      </c>
      <c r="E1642" s="167"/>
      <c r="F1642" s="167"/>
      <c r="G1642" s="167"/>
      <c r="H1642" s="168">
        <f>INSUMOS!E49</f>
        <v>2.09</v>
      </c>
      <c r="I1642" s="221">
        <f t="shared" si="9"/>
        <v>41.8</v>
      </c>
    </row>
    <row r="1643" spans="2:10" ht="15.95" customHeight="1" x14ac:dyDescent="0.2">
      <c r="B1643" s="220" t="s">
        <v>137</v>
      </c>
      <c r="C1643" s="169" t="s">
        <v>398</v>
      </c>
      <c r="D1643" s="166">
        <v>4</v>
      </c>
      <c r="E1643" s="167"/>
      <c r="F1643" s="167"/>
      <c r="G1643" s="167"/>
      <c r="H1643" s="168">
        <f>INSUMOS!E51</f>
        <v>1.8</v>
      </c>
      <c r="I1643" s="221">
        <f t="shared" si="9"/>
        <v>7.2</v>
      </c>
    </row>
    <row r="1644" spans="2:10" ht="15.95" customHeight="1" x14ac:dyDescent="0.2">
      <c r="B1644" s="335" t="s">
        <v>456</v>
      </c>
      <c r="C1644" s="169" t="s">
        <v>398</v>
      </c>
      <c r="D1644" s="170">
        <v>3</v>
      </c>
      <c r="E1644" s="171"/>
      <c r="F1644" s="171"/>
      <c r="G1644" s="171"/>
      <c r="H1644" s="168">
        <f>INSUMOS!E126</f>
        <v>7.47</v>
      </c>
      <c r="I1644" s="222">
        <f t="shared" si="9"/>
        <v>22.41</v>
      </c>
    </row>
    <row r="1645" spans="2:10" ht="15.95" customHeight="1" x14ac:dyDescent="0.2">
      <c r="B1645" s="335" t="s">
        <v>449</v>
      </c>
      <c r="C1645" s="169" t="s">
        <v>398</v>
      </c>
      <c r="D1645" s="170">
        <v>6</v>
      </c>
      <c r="E1645" s="171"/>
      <c r="F1645" s="171"/>
      <c r="G1645" s="171"/>
      <c r="H1645" s="168">
        <f>INSUMOS!E106</f>
        <v>1.84</v>
      </c>
      <c r="I1645" s="222">
        <f>H1645*D1645</f>
        <v>11.04</v>
      </c>
    </row>
    <row r="1646" spans="2:10" ht="15.95" customHeight="1" x14ac:dyDescent="0.2">
      <c r="B1646" s="223" t="s">
        <v>450</v>
      </c>
      <c r="C1646" s="169" t="s">
        <v>398</v>
      </c>
      <c r="D1646" s="166">
        <v>0.08</v>
      </c>
      <c r="E1646" s="167"/>
      <c r="F1646" s="167"/>
      <c r="G1646" s="167"/>
      <c r="H1646" s="168">
        <f>INSUMOS!E52</f>
        <v>1379.34</v>
      </c>
      <c r="I1646" s="222">
        <f>H1646*D1646</f>
        <v>110.35</v>
      </c>
    </row>
    <row r="1647" spans="2:10" ht="15.95" customHeight="1" x14ac:dyDescent="0.2">
      <c r="B1647" s="223" t="s">
        <v>140</v>
      </c>
      <c r="C1647" s="169" t="s">
        <v>398</v>
      </c>
      <c r="D1647" s="166">
        <v>2</v>
      </c>
      <c r="E1647" s="167"/>
      <c r="F1647" s="167"/>
      <c r="G1647" s="167"/>
      <c r="H1647" s="168">
        <f>INSUMOS!E123</f>
        <v>2.5299999999999998</v>
      </c>
      <c r="I1647" s="222">
        <f t="shared" si="9"/>
        <v>5.0599999999999996</v>
      </c>
    </row>
    <row r="1648" spans="2:10" ht="15.95" customHeight="1" x14ac:dyDescent="0.2">
      <c r="B1648" s="224" t="s">
        <v>451</v>
      </c>
      <c r="C1648" s="169" t="s">
        <v>398</v>
      </c>
      <c r="D1648" s="170">
        <v>1</v>
      </c>
      <c r="E1648" s="171"/>
      <c r="F1648" s="171"/>
      <c r="G1648" s="171"/>
      <c r="H1648" s="168">
        <f>INSUMOS!E124</f>
        <v>10.32</v>
      </c>
      <c r="I1648" s="222">
        <f t="shared" ref="I1648:I1654" si="10">H1648*D1648</f>
        <v>10.32</v>
      </c>
      <c r="J1648" s="51"/>
    </row>
    <row r="1649" spans="2:12" ht="15.95" customHeight="1" x14ac:dyDescent="0.2">
      <c r="B1649" s="225" t="s">
        <v>504</v>
      </c>
      <c r="C1649" s="169" t="s">
        <v>398</v>
      </c>
      <c r="D1649" s="166">
        <v>1</v>
      </c>
      <c r="E1649" s="167"/>
      <c r="F1649" s="167"/>
      <c r="G1649" s="167"/>
      <c r="H1649" s="168">
        <f>INSUMOS!E56</f>
        <v>4068.37</v>
      </c>
      <c r="I1649" s="222">
        <f t="shared" si="10"/>
        <v>4068.37</v>
      </c>
      <c r="J1649" s="101"/>
    </row>
    <row r="1650" spans="2:12" ht="15.95" customHeight="1" x14ac:dyDescent="0.2">
      <c r="B1650" s="225" t="s">
        <v>337</v>
      </c>
      <c r="C1650" s="169" t="s">
        <v>398</v>
      </c>
      <c r="D1650" s="166">
        <v>1</v>
      </c>
      <c r="E1650" s="167"/>
      <c r="F1650" s="167"/>
      <c r="G1650" s="167"/>
      <c r="H1650" s="168">
        <f>INSUMOS!E141</f>
        <v>58.35</v>
      </c>
      <c r="I1650" s="221">
        <f t="shared" si="10"/>
        <v>58.35</v>
      </c>
      <c r="J1650" s="101"/>
    </row>
    <row r="1651" spans="2:12" ht="27.75" customHeight="1" x14ac:dyDescent="0.2">
      <c r="B1651" s="225" t="s">
        <v>503</v>
      </c>
      <c r="C1651" s="169" t="s">
        <v>398</v>
      </c>
      <c r="D1651" s="166">
        <v>1</v>
      </c>
      <c r="E1651" s="167"/>
      <c r="F1651" s="167"/>
      <c r="G1651" s="167"/>
      <c r="H1651" s="168">
        <f>INSUMOS!E143</f>
        <v>740</v>
      </c>
      <c r="I1651" s="221">
        <f t="shared" si="10"/>
        <v>740</v>
      </c>
      <c r="J1651" s="101"/>
    </row>
    <row r="1652" spans="2:12" ht="27" customHeight="1" x14ac:dyDescent="0.2">
      <c r="B1652" s="267" t="s">
        <v>585</v>
      </c>
      <c r="C1652" s="169" t="s">
        <v>27</v>
      </c>
      <c r="D1652" s="170">
        <v>50</v>
      </c>
      <c r="E1652" s="171"/>
      <c r="F1652" s="171"/>
      <c r="G1652" s="171"/>
      <c r="H1652" s="168">
        <f>INSUMOS!E57</f>
        <v>17.73</v>
      </c>
      <c r="I1652" s="222">
        <f t="shared" si="10"/>
        <v>886.5</v>
      </c>
      <c r="J1652" s="660"/>
      <c r="K1652" s="661"/>
      <c r="L1652" s="661"/>
    </row>
    <row r="1653" spans="2:12" ht="15.95" customHeight="1" x14ac:dyDescent="0.2">
      <c r="B1653" s="226" t="s">
        <v>143</v>
      </c>
      <c r="C1653" s="169" t="s">
        <v>27</v>
      </c>
      <c r="D1653" s="170">
        <v>1</v>
      </c>
      <c r="E1653" s="171"/>
      <c r="F1653" s="171"/>
      <c r="G1653" s="171"/>
      <c r="H1653" s="168">
        <f>INSUMOS!E112</f>
        <v>44.38</v>
      </c>
      <c r="I1653" s="222">
        <f t="shared" si="10"/>
        <v>44.38</v>
      </c>
      <c r="J1653" s="660"/>
      <c r="K1653" s="661"/>
      <c r="L1653" s="661"/>
    </row>
    <row r="1654" spans="2:12" ht="15.95" customHeight="1" x14ac:dyDescent="0.2">
      <c r="B1654" s="227" t="s">
        <v>594</v>
      </c>
      <c r="C1654" s="169" t="s">
        <v>398</v>
      </c>
      <c r="D1654" s="166">
        <v>120</v>
      </c>
      <c r="E1654" s="167"/>
      <c r="F1654" s="167"/>
      <c r="G1654" s="167"/>
      <c r="H1654" s="168">
        <f>INSUMOS!E113</f>
        <v>3.21</v>
      </c>
      <c r="I1654" s="221">
        <f t="shared" si="10"/>
        <v>385.2</v>
      </c>
    </row>
    <row r="1655" spans="2:12" ht="15.95" customHeight="1" x14ac:dyDescent="0.2">
      <c r="B1655" s="662" t="s">
        <v>69</v>
      </c>
      <c r="C1655" s="663"/>
      <c r="D1655" s="663"/>
      <c r="E1655" s="663"/>
      <c r="F1655" s="663"/>
      <c r="G1655" s="663"/>
      <c r="H1655" s="663"/>
      <c r="I1655" s="221">
        <f>SUM(I1637:I1654)</f>
        <v>6676.69</v>
      </c>
    </row>
    <row r="1656" spans="2:12" s="128" customFormat="1" ht="30" customHeight="1" x14ac:dyDescent="0.2">
      <c r="B1656" s="652" t="s">
        <v>72</v>
      </c>
      <c r="C1656" s="653"/>
      <c r="D1656" s="653"/>
      <c r="E1656" s="653"/>
      <c r="F1656" s="653"/>
      <c r="G1656" s="653"/>
      <c r="H1656" s="653"/>
      <c r="I1656" s="654"/>
    </row>
    <row r="1657" spans="2:12" x14ac:dyDescent="0.2">
      <c r="B1657" s="228" t="s">
        <v>59</v>
      </c>
      <c r="C1657" s="166" t="s">
        <v>5</v>
      </c>
      <c r="D1657" s="146" t="s">
        <v>6</v>
      </c>
      <c r="E1657" s="167"/>
      <c r="F1657" s="167"/>
      <c r="G1657" s="167"/>
      <c r="H1657" s="146" t="s">
        <v>71</v>
      </c>
      <c r="I1657" s="221" t="s">
        <v>65</v>
      </c>
    </row>
    <row r="1658" spans="2:12" x14ac:dyDescent="0.2">
      <c r="B1658" s="229"/>
      <c r="C1658" s="146"/>
      <c r="D1658" s="146"/>
      <c r="E1658" s="167"/>
      <c r="F1658" s="167"/>
      <c r="G1658" s="167"/>
      <c r="H1658" s="146"/>
      <c r="I1658" s="221">
        <f>D1658*H1658</f>
        <v>0</v>
      </c>
    </row>
    <row r="1659" spans="2:12" x14ac:dyDescent="0.2">
      <c r="B1659" s="645" t="s">
        <v>69</v>
      </c>
      <c r="C1659" s="646"/>
      <c r="D1659" s="646"/>
      <c r="E1659" s="646"/>
      <c r="F1659" s="646"/>
      <c r="G1659" s="646"/>
      <c r="H1659" s="646"/>
      <c r="I1659" s="230">
        <f>SUM(I1658:I1658)</f>
        <v>0</v>
      </c>
    </row>
    <row r="1660" spans="2:12" s="128" customFormat="1" ht="30" customHeight="1" x14ac:dyDescent="0.2">
      <c r="B1660" s="634" t="s">
        <v>74</v>
      </c>
      <c r="C1660" s="597"/>
      <c r="D1660" s="597"/>
      <c r="E1660" s="597"/>
      <c r="F1660" s="597"/>
      <c r="G1660" s="597"/>
      <c r="H1660" s="597"/>
      <c r="I1660" s="635"/>
    </row>
    <row r="1661" spans="2:12" ht="15.95" customHeight="1" x14ac:dyDescent="0.2">
      <c r="B1661" s="294" t="s">
        <v>59</v>
      </c>
      <c r="C1661" s="182" t="s">
        <v>5</v>
      </c>
      <c r="D1661" s="145" t="s">
        <v>6</v>
      </c>
      <c r="E1661" s="46"/>
      <c r="F1661" s="46"/>
      <c r="G1661" s="46"/>
      <c r="H1661" s="47" t="s">
        <v>71</v>
      </c>
      <c r="I1661" s="234" t="s">
        <v>65</v>
      </c>
    </row>
    <row r="1662" spans="2:12" ht="15.95" customHeight="1" x14ac:dyDescent="0.2">
      <c r="B1662" s="232" t="s">
        <v>75</v>
      </c>
      <c r="C1662" s="71" t="s">
        <v>67</v>
      </c>
      <c r="D1662" s="47">
        <v>8.5</v>
      </c>
      <c r="E1662" s="46"/>
      <c r="F1662" s="46"/>
      <c r="G1662" s="46"/>
      <c r="H1662" s="56">
        <f>INSUMOS!E14</f>
        <v>3.42</v>
      </c>
      <c r="I1662" s="234">
        <f>H1662*D1662</f>
        <v>29.07</v>
      </c>
    </row>
    <row r="1663" spans="2:12" ht="15.95" customHeight="1" x14ac:dyDescent="0.2">
      <c r="B1663" s="233" t="s">
        <v>144</v>
      </c>
      <c r="C1663" s="71" t="s">
        <v>67</v>
      </c>
      <c r="D1663" s="47">
        <v>2.5</v>
      </c>
      <c r="E1663" s="46"/>
      <c r="F1663" s="46"/>
      <c r="G1663" s="46"/>
      <c r="H1663" s="56">
        <f>INSUMOS!E21</f>
        <v>4.55</v>
      </c>
      <c r="I1663" s="234">
        <f>H1663*D1663</f>
        <v>11.38</v>
      </c>
    </row>
    <row r="1664" spans="2:12" ht="15.95" customHeight="1" x14ac:dyDescent="0.2">
      <c r="B1664" s="233" t="s">
        <v>121</v>
      </c>
      <c r="C1664" s="71" t="s">
        <v>67</v>
      </c>
      <c r="D1664" s="47">
        <v>4</v>
      </c>
      <c r="E1664" s="46"/>
      <c r="F1664" s="46"/>
      <c r="G1664" s="46"/>
      <c r="H1664" s="56">
        <f>INSUMOS!E24</f>
        <v>4.55</v>
      </c>
      <c r="I1664" s="234">
        <f>H1664*D1664</f>
        <v>18.2</v>
      </c>
    </row>
    <row r="1665" spans="1:11" ht="15.95" customHeight="1" x14ac:dyDescent="0.2">
      <c r="B1665" s="599" t="s">
        <v>641</v>
      </c>
      <c r="C1665" s="599"/>
      <c r="D1665" s="599"/>
      <c r="E1665" s="599"/>
      <c r="F1665" s="599"/>
      <c r="G1665" s="599"/>
      <c r="H1665" s="599"/>
      <c r="I1665" s="234">
        <f>SUM(I1662:I1664)*0.9103</f>
        <v>53.39</v>
      </c>
    </row>
    <row r="1666" spans="1:11" ht="15.95" customHeight="1" x14ac:dyDescent="0.2">
      <c r="B1666" s="637" t="s">
        <v>69</v>
      </c>
      <c r="C1666" s="638"/>
      <c r="D1666" s="638"/>
      <c r="E1666" s="638"/>
      <c r="F1666" s="638"/>
      <c r="G1666" s="638"/>
      <c r="H1666" s="638"/>
      <c r="I1666" s="431">
        <f>SUM(I1662:I1665)</f>
        <v>112.04</v>
      </c>
    </row>
    <row r="1667" spans="1:11" ht="15.95" customHeight="1" x14ac:dyDescent="0.2">
      <c r="B1667" s="432" t="s">
        <v>76</v>
      </c>
      <c r="C1667" s="433">
        <v>1</v>
      </c>
      <c r="D1667" s="639" t="s">
        <v>77</v>
      </c>
      <c r="E1667" s="640"/>
      <c r="F1667" s="640"/>
      <c r="G1667" s="640"/>
      <c r="H1667" s="641"/>
      <c r="I1667" s="431">
        <f>I1634+I1655+I1659+I1666</f>
        <v>6788.73</v>
      </c>
    </row>
    <row r="1668" spans="1:11" ht="15.95" customHeight="1" x14ac:dyDescent="0.2">
      <c r="B1668" s="642"/>
      <c r="C1668" s="643"/>
      <c r="D1668" s="643"/>
      <c r="E1668" s="643"/>
      <c r="F1668" s="643"/>
      <c r="G1668" s="643"/>
      <c r="H1668" s="644"/>
      <c r="I1668" s="431">
        <f>I1667/C1667</f>
        <v>6788.73</v>
      </c>
    </row>
    <row r="1669" spans="1:11" ht="15.95" customHeight="1" x14ac:dyDescent="0.2">
      <c r="B1669" s="434" t="s">
        <v>346</v>
      </c>
      <c r="C1669" s="169">
        <v>25</v>
      </c>
      <c r="D1669" s="435" t="s">
        <v>272</v>
      </c>
      <c r="E1669" s="436"/>
      <c r="F1669" s="436"/>
      <c r="G1669" s="436"/>
      <c r="H1669" s="437"/>
      <c r="I1669" s="280">
        <f>C1669/100*I1668</f>
        <v>1697.18</v>
      </c>
    </row>
    <row r="1670" spans="1:11" s="128" customFormat="1" ht="30" customHeight="1" thickBot="1" x14ac:dyDescent="0.25">
      <c r="B1670" s="629" t="s">
        <v>78</v>
      </c>
      <c r="C1670" s="630"/>
      <c r="D1670" s="630"/>
      <c r="E1670" s="630"/>
      <c r="F1670" s="630"/>
      <c r="G1670" s="630"/>
      <c r="H1670" s="630"/>
      <c r="I1670" s="136">
        <f>SUM(I1668:I1669)</f>
        <v>8485.91</v>
      </c>
      <c r="K1670" s="128">
        <f>4427</f>
        <v>4427</v>
      </c>
    </row>
    <row r="1671" spans="1:11" x14ac:dyDescent="0.2">
      <c r="B1671" s="98"/>
      <c r="C1671" s="420"/>
      <c r="D1671" s="420"/>
      <c r="E1671" s="98"/>
      <c r="F1671" s="98"/>
      <c r="G1671" s="98"/>
      <c r="H1671" s="98"/>
      <c r="I1671" s="420"/>
    </row>
    <row r="1672" spans="1:11" x14ac:dyDescent="0.2">
      <c r="B1672" s="98"/>
      <c r="C1672" s="420"/>
      <c r="D1672" s="420"/>
      <c r="E1672" s="98"/>
      <c r="F1672" s="98"/>
      <c r="G1672" s="98"/>
      <c r="H1672" s="98"/>
      <c r="I1672" s="420"/>
    </row>
    <row r="1673" spans="1:11" x14ac:dyDescent="0.2">
      <c r="B1673" s="98"/>
      <c r="C1673" s="420"/>
      <c r="D1673" s="420"/>
      <c r="E1673" s="98"/>
      <c r="F1673" s="98"/>
      <c r="G1673" s="98"/>
      <c r="H1673" s="98"/>
      <c r="I1673" s="420"/>
    </row>
    <row r="1674" spans="1:11" x14ac:dyDescent="0.2">
      <c r="B1674" s="98"/>
      <c r="C1674" s="420"/>
      <c r="D1674" s="420"/>
      <c r="E1674" s="98"/>
      <c r="F1674" s="98"/>
      <c r="G1674" s="98"/>
      <c r="H1674" s="98"/>
      <c r="I1674" s="420"/>
    </row>
    <row r="1675" spans="1:11" ht="13.5" thickBot="1" x14ac:dyDescent="0.25"/>
    <row r="1676" spans="1:11" s="128" customFormat="1" ht="30" customHeight="1" x14ac:dyDescent="0.2">
      <c r="B1676" s="279" t="s">
        <v>55</v>
      </c>
      <c r="C1676" s="488" t="str">
        <f>INSTALAÇÃO!B65</f>
        <v>5.4</v>
      </c>
      <c r="D1676" s="709" t="s">
        <v>56</v>
      </c>
      <c r="E1676" s="709"/>
      <c r="F1676" s="709"/>
      <c r="G1676" s="709"/>
      <c r="H1676" s="709"/>
      <c r="I1676" s="710"/>
    </row>
    <row r="1677" spans="1:11" s="128" customFormat="1" ht="30" customHeight="1" x14ac:dyDescent="0.2">
      <c r="B1677" s="713" t="s">
        <v>402</v>
      </c>
      <c r="C1677" s="691"/>
      <c r="D1677" s="691"/>
      <c r="E1677" s="691"/>
      <c r="F1677" s="691"/>
      <c r="G1677" s="692"/>
      <c r="H1677" s="669" t="s">
        <v>568</v>
      </c>
      <c r="I1677" s="714"/>
    </row>
    <row r="1678" spans="1:11" s="128" customFormat="1" ht="30" customHeight="1" x14ac:dyDescent="0.2">
      <c r="B1678" s="715" t="s">
        <v>403</v>
      </c>
      <c r="C1678" s="664"/>
      <c r="D1678" s="664"/>
      <c r="E1678" s="664"/>
      <c r="F1678" s="664"/>
      <c r="G1678" s="664"/>
      <c r="H1678" s="34" t="s">
        <v>57</v>
      </c>
      <c r="I1678" s="213" t="s">
        <v>27</v>
      </c>
    </row>
    <row r="1679" spans="1:11" s="128" customFormat="1" ht="30" customHeight="1" x14ac:dyDescent="0.2">
      <c r="B1679" s="634" t="s">
        <v>58</v>
      </c>
      <c r="C1679" s="597"/>
      <c r="D1679" s="597"/>
      <c r="E1679" s="597"/>
      <c r="F1679" s="597"/>
      <c r="G1679" s="597"/>
      <c r="H1679" s="597"/>
      <c r="I1679" s="635"/>
    </row>
    <row r="1680" spans="1:11" ht="25.5" x14ac:dyDescent="0.2">
      <c r="A1680" s="93"/>
      <c r="B1680" s="214" t="s">
        <v>59</v>
      </c>
      <c r="C1680" s="173" t="s">
        <v>5</v>
      </c>
      <c r="D1680" s="36" t="s">
        <v>6</v>
      </c>
      <c r="E1680" s="36" t="s">
        <v>61</v>
      </c>
      <c r="F1680" s="36" t="s">
        <v>62</v>
      </c>
      <c r="G1680" s="36" t="s">
        <v>63</v>
      </c>
      <c r="H1680" s="36" t="s">
        <v>64</v>
      </c>
      <c r="I1680" s="215" t="s">
        <v>65</v>
      </c>
    </row>
    <row r="1681" spans="2:9" ht="27" customHeight="1" x14ac:dyDescent="0.2">
      <c r="B1681" s="286" t="s">
        <v>404</v>
      </c>
      <c r="C1681" s="287" t="s">
        <v>67</v>
      </c>
      <c r="D1681" s="277">
        <v>1</v>
      </c>
      <c r="E1681" s="278"/>
      <c r="F1681" s="49"/>
      <c r="G1681" s="56">
        <f>INSUMOS!E62</f>
        <v>10.42</v>
      </c>
      <c r="H1681" s="49"/>
      <c r="I1681" s="280">
        <f>D1681*G1681</f>
        <v>10.42</v>
      </c>
    </row>
    <row r="1682" spans="2:9" ht="27" customHeight="1" x14ac:dyDescent="0.2">
      <c r="B1682" s="288" t="s">
        <v>408</v>
      </c>
      <c r="C1682" s="287" t="s">
        <v>67</v>
      </c>
      <c r="D1682" s="277">
        <v>1</v>
      </c>
      <c r="E1682" s="278"/>
      <c r="F1682" s="276"/>
      <c r="G1682" s="239">
        <f>INSUMOS!E63</f>
        <v>1.88</v>
      </c>
      <c r="H1682" s="276"/>
      <c r="I1682" s="280">
        <f>D1682*G1682</f>
        <v>1.88</v>
      </c>
    </row>
    <row r="1683" spans="2:9" ht="15.95" customHeight="1" x14ac:dyDescent="0.2">
      <c r="B1683" s="636" t="s">
        <v>69</v>
      </c>
      <c r="C1683" s="598"/>
      <c r="D1683" s="598"/>
      <c r="E1683" s="598"/>
      <c r="F1683" s="598"/>
      <c r="G1683" s="598"/>
      <c r="H1683" s="598"/>
      <c r="I1683" s="230">
        <f>SUM(I1681:I1682)</f>
        <v>12.3</v>
      </c>
    </row>
    <row r="1684" spans="2:9" s="128" customFormat="1" ht="30" customHeight="1" x14ac:dyDescent="0.2">
      <c r="B1684" s="634" t="s">
        <v>70</v>
      </c>
      <c r="C1684" s="597"/>
      <c r="D1684" s="597"/>
      <c r="E1684" s="597"/>
      <c r="F1684" s="597"/>
      <c r="G1684" s="597"/>
      <c r="H1684" s="597"/>
      <c r="I1684" s="635"/>
    </row>
    <row r="1685" spans="2:9" x14ac:dyDescent="0.2">
      <c r="B1685" s="294" t="s">
        <v>59</v>
      </c>
      <c r="C1685" s="182" t="s">
        <v>5</v>
      </c>
      <c r="D1685" s="47" t="s">
        <v>6</v>
      </c>
      <c r="E1685" s="46"/>
      <c r="F1685" s="46"/>
      <c r="G1685" s="46"/>
      <c r="H1685" s="47" t="s">
        <v>71</v>
      </c>
      <c r="I1685" s="234" t="s">
        <v>65</v>
      </c>
    </row>
    <row r="1686" spans="2:9" x14ac:dyDescent="0.2">
      <c r="B1686" s="281"/>
      <c r="C1686" s="88"/>
      <c r="D1686" s="89"/>
      <c r="E1686" s="46"/>
      <c r="F1686" s="46"/>
      <c r="G1686" s="46"/>
      <c r="H1686" s="47"/>
      <c r="I1686" s="234">
        <f>H1686*D1686</f>
        <v>0</v>
      </c>
    </row>
    <row r="1687" spans="2:9" x14ac:dyDescent="0.2">
      <c r="B1687" s="636" t="s">
        <v>69</v>
      </c>
      <c r="C1687" s="598"/>
      <c r="D1687" s="598"/>
      <c r="E1687" s="598"/>
      <c r="F1687" s="598"/>
      <c r="G1687" s="598"/>
      <c r="H1687" s="598"/>
      <c r="I1687" s="234">
        <f>SUM(I1686:I1686)</f>
        <v>0</v>
      </c>
    </row>
    <row r="1688" spans="2:9" s="128" customFormat="1" ht="30" customHeight="1" x14ac:dyDescent="0.2">
      <c r="B1688" s="634" t="s">
        <v>72</v>
      </c>
      <c r="C1688" s="597"/>
      <c r="D1688" s="597"/>
      <c r="E1688" s="597"/>
      <c r="F1688" s="597"/>
      <c r="G1688" s="597"/>
      <c r="H1688" s="597"/>
      <c r="I1688" s="635"/>
    </row>
    <row r="1689" spans="2:9" x14ac:dyDescent="0.2">
      <c r="B1689" s="282" t="s">
        <v>59</v>
      </c>
      <c r="C1689" s="57" t="s">
        <v>5</v>
      </c>
      <c r="D1689" s="47" t="s">
        <v>6</v>
      </c>
      <c r="E1689" s="46"/>
      <c r="F1689" s="46"/>
      <c r="G1689" s="46"/>
      <c r="H1689" s="47" t="s">
        <v>71</v>
      </c>
      <c r="I1689" s="217" t="s">
        <v>65</v>
      </c>
    </row>
    <row r="1690" spans="2:9" x14ac:dyDescent="0.2">
      <c r="B1690" s="283"/>
      <c r="C1690" s="47"/>
      <c r="D1690" s="47"/>
      <c r="E1690" s="46"/>
      <c r="F1690" s="46"/>
      <c r="G1690" s="46"/>
      <c r="H1690" s="47"/>
      <c r="I1690" s="234">
        <f>D1690*H1690</f>
        <v>0</v>
      </c>
    </row>
    <row r="1691" spans="2:9" x14ac:dyDescent="0.2">
      <c r="B1691" s="636" t="s">
        <v>69</v>
      </c>
      <c r="C1691" s="598"/>
      <c r="D1691" s="598"/>
      <c r="E1691" s="598"/>
      <c r="F1691" s="598"/>
      <c r="G1691" s="598"/>
      <c r="H1691" s="598"/>
      <c r="I1691" s="234">
        <f>SUM(I1690:I1690)</f>
        <v>0</v>
      </c>
    </row>
    <row r="1692" spans="2:9" s="128" customFormat="1" ht="30" customHeight="1" x14ac:dyDescent="0.2">
      <c r="B1692" s="634" t="s">
        <v>74</v>
      </c>
      <c r="C1692" s="597"/>
      <c r="D1692" s="597"/>
      <c r="E1692" s="597"/>
      <c r="F1692" s="597"/>
      <c r="G1692" s="597"/>
      <c r="H1692" s="597"/>
      <c r="I1692" s="635"/>
    </row>
    <row r="1693" spans="2:9" ht="15.95" customHeight="1" x14ac:dyDescent="0.2">
      <c r="B1693" s="294" t="s">
        <v>59</v>
      </c>
      <c r="C1693" s="182" t="s">
        <v>5</v>
      </c>
      <c r="D1693" s="145" t="s">
        <v>6</v>
      </c>
      <c r="E1693" s="139"/>
      <c r="F1693" s="46"/>
      <c r="G1693" s="46"/>
      <c r="H1693" s="47" t="s">
        <v>71</v>
      </c>
      <c r="I1693" s="234" t="s">
        <v>65</v>
      </c>
    </row>
    <row r="1694" spans="2:9" ht="15.95" customHeight="1" x14ac:dyDescent="0.2">
      <c r="B1694" s="401" t="s">
        <v>405</v>
      </c>
      <c r="C1694" s="402" t="s">
        <v>67</v>
      </c>
      <c r="D1694" s="399">
        <v>1</v>
      </c>
      <c r="E1694" s="291"/>
      <c r="F1694" s="238"/>
      <c r="G1694" s="46"/>
      <c r="H1694" s="56">
        <f>INSUMOS!E30</f>
        <v>3.09</v>
      </c>
      <c r="I1694" s="234">
        <f>H1694*D1694</f>
        <v>3.09</v>
      </c>
    </row>
    <row r="1695" spans="2:9" ht="15.95" customHeight="1" x14ac:dyDescent="0.2">
      <c r="B1695" s="401" t="s">
        <v>406</v>
      </c>
      <c r="C1695" s="402" t="s">
        <v>67</v>
      </c>
      <c r="D1695" s="399">
        <v>1</v>
      </c>
      <c r="E1695" s="291"/>
      <c r="F1695" s="238"/>
      <c r="G1695" s="46"/>
      <c r="H1695" s="56">
        <f>INSUMOS!E27</f>
        <v>6.76</v>
      </c>
      <c r="I1695" s="234">
        <f>H1695*D1695</f>
        <v>6.76</v>
      </c>
    </row>
    <row r="1696" spans="2:9" ht="15.95" customHeight="1" x14ac:dyDescent="0.2">
      <c r="B1696" s="401" t="s">
        <v>407</v>
      </c>
      <c r="C1696" s="402" t="s">
        <v>67</v>
      </c>
      <c r="D1696" s="400">
        <v>2</v>
      </c>
      <c r="E1696" s="292"/>
      <c r="F1696" s="238"/>
      <c r="G1696" s="46"/>
      <c r="H1696" s="56">
        <f>INSUMOS!E28</f>
        <v>2.25</v>
      </c>
      <c r="I1696" s="234">
        <f>H1696*D1696</f>
        <v>4.5</v>
      </c>
    </row>
    <row r="1697" spans="2:11" ht="15.95" customHeight="1" x14ac:dyDescent="0.2">
      <c r="B1697" s="599" t="s">
        <v>641</v>
      </c>
      <c r="C1697" s="599"/>
      <c r="D1697" s="599"/>
      <c r="E1697" s="599"/>
      <c r="F1697" s="599"/>
      <c r="G1697" s="599"/>
      <c r="H1697" s="599"/>
      <c r="I1697" s="234">
        <f>SUM(I1694:I1696)*0.9103</f>
        <v>13.06</v>
      </c>
    </row>
    <row r="1698" spans="2:11" ht="15.95" customHeight="1" x14ac:dyDescent="0.2">
      <c r="B1698" s="636" t="s">
        <v>69</v>
      </c>
      <c r="C1698" s="598"/>
      <c r="D1698" s="598"/>
      <c r="E1698" s="598"/>
      <c r="F1698" s="598"/>
      <c r="G1698" s="598"/>
      <c r="H1698" s="598"/>
      <c r="I1698" s="230">
        <f>SUM(I1694:I1697)</f>
        <v>27.41</v>
      </c>
    </row>
    <row r="1699" spans="2:11" ht="15.95" customHeight="1" x14ac:dyDescent="0.2">
      <c r="B1699" s="236" t="s">
        <v>76</v>
      </c>
      <c r="C1699" s="149">
        <v>34.6</v>
      </c>
      <c r="D1699" s="671" t="s">
        <v>77</v>
      </c>
      <c r="E1699" s="672"/>
      <c r="F1699" s="672"/>
      <c r="G1699" s="672"/>
      <c r="H1699" s="673"/>
      <c r="I1699" s="230">
        <f>I1683+I1687+I1691+I1698</f>
        <v>39.71</v>
      </c>
    </row>
    <row r="1700" spans="2:11" ht="15.95" customHeight="1" x14ac:dyDescent="0.2">
      <c r="B1700" s="705"/>
      <c r="C1700" s="594"/>
      <c r="D1700" s="594"/>
      <c r="E1700" s="594"/>
      <c r="F1700" s="594"/>
      <c r="G1700" s="594"/>
      <c r="H1700" s="595"/>
      <c r="I1700" s="230">
        <f>I1699/C1699</f>
        <v>1.1499999999999999</v>
      </c>
    </row>
    <row r="1701" spans="2:11" ht="15.95" customHeight="1" x14ac:dyDescent="0.2">
      <c r="B1701" s="237" t="s">
        <v>346</v>
      </c>
      <c r="C1701" s="146">
        <v>25</v>
      </c>
      <c r="D1701" s="147" t="s">
        <v>272</v>
      </c>
      <c r="E1701" s="137"/>
      <c r="F1701" s="137"/>
      <c r="G1701" s="137"/>
      <c r="H1701" s="138"/>
      <c r="I1701" s="234">
        <f>C1701/100*I1700</f>
        <v>0.28999999999999998</v>
      </c>
    </row>
    <row r="1702" spans="2:11" s="128" customFormat="1" ht="30" customHeight="1" thickBot="1" x14ac:dyDescent="0.25">
      <c r="B1702" s="629" t="s">
        <v>78</v>
      </c>
      <c r="C1702" s="630"/>
      <c r="D1702" s="630"/>
      <c r="E1702" s="630"/>
      <c r="F1702" s="630"/>
      <c r="G1702" s="630"/>
      <c r="H1702" s="630"/>
      <c r="I1702" s="136">
        <f>SUM(I1700:I1701)</f>
        <v>1.44</v>
      </c>
    </row>
    <row r="1708" spans="2:11" ht="13.5" thickBot="1" x14ac:dyDescent="0.25">
      <c r="B1708" s="98"/>
      <c r="C1708" s="420"/>
      <c r="D1708" s="420"/>
      <c r="E1708" s="98"/>
      <c r="F1708" s="98"/>
      <c r="G1708" s="98"/>
      <c r="H1708" s="98"/>
      <c r="I1708" s="420"/>
    </row>
    <row r="1709" spans="2:11" s="337" customFormat="1" ht="30" customHeight="1" x14ac:dyDescent="0.2">
      <c r="B1709" s="338" t="s">
        <v>55</v>
      </c>
      <c r="C1709" s="488" t="str">
        <f>INSTALAÇÃO!B78</f>
        <v>5.17</v>
      </c>
      <c r="D1709" s="619" t="s">
        <v>56</v>
      </c>
      <c r="E1709" s="619"/>
      <c r="F1709" s="619"/>
      <c r="G1709" s="619"/>
      <c r="H1709" s="619"/>
      <c r="I1709" s="620"/>
      <c r="J1709" s="340"/>
    </row>
    <row r="1710" spans="2:11" s="337" customFormat="1" ht="30" customHeight="1" x14ac:dyDescent="0.2">
      <c r="B1710" s="621" t="s">
        <v>459</v>
      </c>
      <c r="C1710" s="622"/>
      <c r="D1710" s="622"/>
      <c r="E1710" s="622"/>
      <c r="F1710" s="622"/>
      <c r="G1710" s="623"/>
      <c r="H1710" s="624" t="s">
        <v>583</v>
      </c>
      <c r="I1710" s="625"/>
      <c r="J1710" s="340"/>
    </row>
    <row r="1711" spans="2:11" s="337" customFormat="1" ht="30" customHeight="1" x14ac:dyDescent="0.2">
      <c r="B1711" s="626" t="s">
        <v>588</v>
      </c>
      <c r="C1711" s="627"/>
      <c r="D1711" s="627"/>
      <c r="E1711" s="627"/>
      <c r="F1711" s="627"/>
      <c r="G1711" s="628"/>
      <c r="H1711" s="341" t="s">
        <v>57</v>
      </c>
      <c r="I1711" s="342" t="s">
        <v>398</v>
      </c>
      <c r="J1711" s="600"/>
      <c r="K1711" s="600"/>
    </row>
    <row r="1712" spans="2:11" s="337" customFormat="1" ht="30" customHeight="1" x14ac:dyDescent="0.2">
      <c r="B1712" s="601" t="s">
        <v>58</v>
      </c>
      <c r="C1712" s="602"/>
      <c r="D1712" s="602"/>
      <c r="E1712" s="602"/>
      <c r="F1712" s="602"/>
      <c r="G1712" s="602"/>
      <c r="H1712" s="602"/>
      <c r="I1712" s="603"/>
      <c r="J1712" s="600"/>
      <c r="K1712" s="600"/>
    </row>
    <row r="1713" spans="2:12" s="337" customFormat="1" ht="25.5" x14ac:dyDescent="0.2">
      <c r="B1713" s="343" t="s">
        <v>59</v>
      </c>
      <c r="C1713" s="36" t="s">
        <v>60</v>
      </c>
      <c r="D1713" s="344" t="s">
        <v>6</v>
      </c>
      <c r="E1713" s="345" t="s">
        <v>61</v>
      </c>
      <c r="F1713" s="345" t="s">
        <v>62</v>
      </c>
      <c r="G1713" s="346" t="s">
        <v>63</v>
      </c>
      <c r="H1713" s="346" t="s">
        <v>64</v>
      </c>
      <c r="I1713" s="347" t="s">
        <v>65</v>
      </c>
      <c r="J1713" s="600"/>
      <c r="K1713" s="600"/>
    </row>
    <row r="1714" spans="2:12" s="348" customFormat="1" x14ac:dyDescent="0.2">
      <c r="B1714" s="349"/>
      <c r="C1714" s="350"/>
      <c r="D1714" s="351"/>
      <c r="E1714" s="352"/>
      <c r="F1714" s="353"/>
      <c r="G1714" s="354"/>
      <c r="H1714" s="355"/>
      <c r="I1714" s="354">
        <f>D1714*G1714</f>
        <v>0</v>
      </c>
      <c r="J1714" s="122"/>
      <c r="L1714" s="356"/>
    </row>
    <row r="1715" spans="2:12" s="348" customFormat="1" ht="15" customHeight="1" x14ac:dyDescent="0.2">
      <c r="B1715" s="604" t="s">
        <v>69</v>
      </c>
      <c r="C1715" s="605"/>
      <c r="D1715" s="605"/>
      <c r="E1715" s="605"/>
      <c r="F1715" s="605"/>
      <c r="G1715" s="605"/>
      <c r="H1715" s="605"/>
      <c r="I1715" s="357">
        <f>SUM(I1714:I1714)</f>
        <v>0</v>
      </c>
      <c r="J1715" s="122"/>
    </row>
    <row r="1716" spans="2:12" s="337" customFormat="1" ht="30" customHeight="1" x14ac:dyDescent="0.2">
      <c r="B1716" s="601" t="s">
        <v>70</v>
      </c>
      <c r="C1716" s="602"/>
      <c r="D1716" s="602"/>
      <c r="E1716" s="602"/>
      <c r="F1716" s="602"/>
      <c r="G1716" s="602"/>
      <c r="H1716" s="602"/>
      <c r="I1716" s="603"/>
      <c r="J1716" s="340"/>
      <c r="K1716" s="358"/>
    </row>
    <row r="1717" spans="2:12" s="337" customFormat="1" ht="14.1" customHeight="1" x14ac:dyDescent="0.2">
      <c r="B1717" s="359" t="s">
        <v>59</v>
      </c>
      <c r="C1717" s="36" t="s">
        <v>60</v>
      </c>
      <c r="D1717" s="360" t="s">
        <v>6</v>
      </c>
      <c r="E1717" s="361"/>
      <c r="F1717" s="361"/>
      <c r="G1717" s="361"/>
      <c r="H1717" s="350" t="s">
        <v>71</v>
      </c>
      <c r="I1717" s="362" t="s">
        <v>65</v>
      </c>
      <c r="J1717" s="340"/>
    </row>
    <row r="1718" spans="2:12" s="337" customFormat="1" ht="25.5" x14ac:dyDescent="0.2">
      <c r="B1718" s="363" t="s">
        <v>468</v>
      </c>
      <c r="C1718" s="350" t="s">
        <v>398</v>
      </c>
      <c r="D1718" s="364">
        <v>3</v>
      </c>
      <c r="E1718" s="365"/>
      <c r="F1718" s="365"/>
      <c r="G1718" s="365"/>
      <c r="H1718" s="366">
        <f>INSUMOS!E112</f>
        <v>44.38</v>
      </c>
      <c r="I1718" s="367">
        <f>D1718*H1718</f>
        <v>133.13999999999999</v>
      </c>
      <c r="J1718" s="340"/>
      <c r="K1718" s="368"/>
    </row>
    <row r="1719" spans="2:12" s="337" customFormat="1" x14ac:dyDescent="0.2">
      <c r="B1719" s="369" t="s">
        <v>460</v>
      </c>
      <c r="C1719" s="370" t="s">
        <v>27</v>
      </c>
      <c r="D1719" s="371">
        <v>9</v>
      </c>
      <c r="E1719" s="372"/>
      <c r="F1719" s="372"/>
      <c r="G1719" s="372"/>
      <c r="H1719" s="373">
        <f>INSUMOS!E149</f>
        <v>12.43</v>
      </c>
      <c r="I1719" s="367">
        <f>D1719*H1719</f>
        <v>111.87</v>
      </c>
      <c r="J1719" s="340"/>
      <c r="K1719" s="368"/>
    </row>
    <row r="1720" spans="2:12" s="337" customFormat="1" x14ac:dyDescent="0.2">
      <c r="B1720" s="369" t="s">
        <v>461</v>
      </c>
      <c r="C1720" s="370" t="s">
        <v>27</v>
      </c>
      <c r="D1720" s="371">
        <v>5</v>
      </c>
      <c r="E1720" s="372"/>
      <c r="F1720" s="372"/>
      <c r="G1720" s="372"/>
      <c r="H1720" s="373">
        <f>INSUMOS!E150</f>
        <v>23.92</v>
      </c>
      <c r="I1720" s="367">
        <f>D1720*H1720</f>
        <v>119.6</v>
      </c>
      <c r="J1720" s="340"/>
      <c r="K1720" s="368"/>
    </row>
    <row r="1721" spans="2:12" s="337" customFormat="1" ht="14.1" customHeight="1" x14ac:dyDescent="0.2">
      <c r="B1721" s="606" t="s">
        <v>69</v>
      </c>
      <c r="C1721" s="607"/>
      <c r="D1721" s="607"/>
      <c r="E1721" s="607"/>
      <c r="F1721" s="607"/>
      <c r="G1721" s="607"/>
      <c r="H1721" s="607"/>
      <c r="I1721" s="367">
        <f>SUM(I1718:I1720)</f>
        <v>364.61</v>
      </c>
      <c r="J1721" s="340"/>
    </row>
    <row r="1722" spans="2:12" s="337" customFormat="1" ht="30" customHeight="1" x14ac:dyDescent="0.2">
      <c r="B1722" s="601" t="s">
        <v>72</v>
      </c>
      <c r="C1722" s="602"/>
      <c r="D1722" s="602"/>
      <c r="E1722" s="602"/>
      <c r="F1722" s="602"/>
      <c r="G1722" s="602"/>
      <c r="H1722" s="602"/>
      <c r="I1722" s="603"/>
      <c r="J1722" s="340"/>
    </row>
    <row r="1723" spans="2:12" s="337" customFormat="1" x14ac:dyDescent="0.2">
      <c r="B1723" s="374" t="s">
        <v>59</v>
      </c>
      <c r="C1723" s="36" t="s">
        <v>60</v>
      </c>
      <c r="D1723" s="350" t="s">
        <v>6</v>
      </c>
      <c r="E1723" s="375"/>
      <c r="F1723" s="375"/>
      <c r="G1723" s="375"/>
      <c r="H1723" s="350" t="s">
        <v>71</v>
      </c>
      <c r="I1723" s="367" t="s">
        <v>65</v>
      </c>
      <c r="J1723" s="340"/>
    </row>
    <row r="1724" spans="2:12" s="337" customFormat="1" x14ac:dyDescent="0.2">
      <c r="B1724" s="376"/>
      <c r="C1724" s="350"/>
      <c r="D1724" s="377"/>
      <c r="E1724" s="375"/>
      <c r="F1724" s="375"/>
      <c r="G1724" s="375"/>
      <c r="H1724" s="354"/>
      <c r="I1724" s="367">
        <f>D1724*H1724</f>
        <v>0</v>
      </c>
      <c r="J1724" s="340"/>
    </row>
    <row r="1725" spans="2:12" s="337" customFormat="1" x14ac:dyDescent="0.2">
      <c r="B1725" s="608" t="s">
        <v>69</v>
      </c>
      <c r="C1725" s="609"/>
      <c r="D1725" s="609"/>
      <c r="E1725" s="609"/>
      <c r="F1725" s="609"/>
      <c r="G1725" s="609"/>
      <c r="H1725" s="609"/>
      <c r="I1725" s="367">
        <f>SUM(I1724:I1724)</f>
        <v>0</v>
      </c>
      <c r="J1725" s="340"/>
    </row>
    <row r="1726" spans="2:12" s="337" customFormat="1" ht="30" customHeight="1" x14ac:dyDescent="0.2">
      <c r="B1726" s="601" t="s">
        <v>74</v>
      </c>
      <c r="C1726" s="602"/>
      <c r="D1726" s="602"/>
      <c r="E1726" s="602"/>
      <c r="F1726" s="602"/>
      <c r="G1726" s="602"/>
      <c r="H1726" s="602"/>
      <c r="I1726" s="603"/>
      <c r="J1726" s="340"/>
    </row>
    <row r="1727" spans="2:12" s="337" customFormat="1" ht="14.1" customHeight="1" x14ac:dyDescent="0.2">
      <c r="B1727" s="378" t="s">
        <v>59</v>
      </c>
      <c r="C1727" s="36" t="s">
        <v>60</v>
      </c>
      <c r="D1727" s="379" t="s">
        <v>6</v>
      </c>
      <c r="E1727" s="365"/>
      <c r="F1727" s="365"/>
      <c r="G1727" s="365"/>
      <c r="H1727" s="350" t="s">
        <v>71</v>
      </c>
      <c r="I1727" s="362" t="s">
        <v>65</v>
      </c>
      <c r="J1727" s="340"/>
    </row>
    <row r="1728" spans="2:12" s="337" customFormat="1" ht="14.1" customHeight="1" x14ac:dyDescent="0.2">
      <c r="B1728" s="380" t="s">
        <v>462</v>
      </c>
      <c r="C1728" s="381" t="s">
        <v>67</v>
      </c>
      <c r="D1728" s="382">
        <v>0.4</v>
      </c>
      <c r="E1728" s="365"/>
      <c r="F1728" s="365"/>
      <c r="G1728" s="365"/>
      <c r="H1728" s="366">
        <f>INSUMOS!E21</f>
        <v>4.55</v>
      </c>
      <c r="I1728" s="367">
        <f>D1728*H1728</f>
        <v>1.82</v>
      </c>
      <c r="J1728" s="340"/>
    </row>
    <row r="1729" spans="2:10" s="337" customFormat="1" ht="14.1" customHeight="1" x14ac:dyDescent="0.2">
      <c r="B1729" s="380" t="s">
        <v>467</v>
      </c>
      <c r="C1729" s="381" t="s">
        <v>67</v>
      </c>
      <c r="D1729" s="382">
        <v>0.4</v>
      </c>
      <c r="E1729" s="365"/>
      <c r="F1729" s="365"/>
      <c r="G1729" s="365"/>
      <c r="H1729" s="366">
        <f>INSUMOS!E15</f>
        <v>3.42</v>
      </c>
      <c r="I1729" s="367">
        <f>D1729*H1729</f>
        <v>1.37</v>
      </c>
      <c r="J1729" s="340"/>
    </row>
    <row r="1730" spans="2:10" s="337" customFormat="1" ht="14.1" customHeight="1" x14ac:dyDescent="0.2">
      <c r="B1730" s="599" t="s">
        <v>641</v>
      </c>
      <c r="C1730" s="599"/>
      <c r="D1730" s="599"/>
      <c r="E1730" s="599"/>
      <c r="F1730" s="599"/>
      <c r="G1730" s="599"/>
      <c r="H1730" s="599"/>
      <c r="I1730" s="357">
        <f>SUM(I1728:I1729)*0.9103</f>
        <v>2.9</v>
      </c>
      <c r="J1730" s="340"/>
    </row>
    <row r="1731" spans="2:10" s="337" customFormat="1" ht="14.1" customHeight="1" x14ac:dyDescent="0.2">
      <c r="B1731" s="608" t="s">
        <v>69</v>
      </c>
      <c r="C1731" s="609"/>
      <c r="D1731" s="609"/>
      <c r="E1731" s="609"/>
      <c r="F1731" s="609"/>
      <c r="G1731" s="609"/>
      <c r="H1731" s="609"/>
      <c r="I1731" s="357">
        <f>SUM(I1728:I1730)</f>
        <v>6.09</v>
      </c>
      <c r="J1731" s="340"/>
    </row>
    <row r="1732" spans="2:10" s="337" customFormat="1" ht="14.1" customHeight="1" x14ac:dyDescent="0.2">
      <c r="B1732" s="383" t="s">
        <v>76</v>
      </c>
      <c r="C1732" s="384">
        <v>1</v>
      </c>
      <c r="D1732" s="609" t="s">
        <v>77</v>
      </c>
      <c r="E1732" s="609"/>
      <c r="F1732" s="609"/>
      <c r="G1732" s="609"/>
      <c r="H1732" s="609"/>
      <c r="I1732" s="357">
        <f>I1731+I1725+I1721+I1715</f>
        <v>370.7</v>
      </c>
      <c r="J1732" s="340"/>
    </row>
    <row r="1733" spans="2:10" s="337" customFormat="1" ht="14.1" customHeight="1" x14ac:dyDescent="0.2">
      <c r="B1733" s="610" t="s">
        <v>463</v>
      </c>
      <c r="C1733" s="611"/>
      <c r="D1733" s="612"/>
      <c r="E1733" s="612"/>
      <c r="F1733" s="612"/>
      <c r="G1733" s="612"/>
      <c r="H1733" s="612"/>
      <c r="I1733" s="367">
        <f>I1732/C1732</f>
        <v>370.7</v>
      </c>
      <c r="J1733" s="340"/>
    </row>
    <row r="1734" spans="2:10" s="337" customFormat="1" ht="14.1" customHeight="1" x14ac:dyDescent="0.2">
      <c r="B1734" s="385" t="s">
        <v>464</v>
      </c>
      <c r="C1734" s="386">
        <v>25</v>
      </c>
      <c r="D1734" s="613" t="s">
        <v>272</v>
      </c>
      <c r="E1734" s="614"/>
      <c r="F1734" s="614"/>
      <c r="G1734" s="614"/>
      <c r="H1734" s="615"/>
      <c r="I1734" s="367">
        <f>I1733/100*C1734</f>
        <v>92.68</v>
      </c>
      <c r="J1734" s="340"/>
    </row>
    <row r="1735" spans="2:10" s="337" customFormat="1" ht="30" customHeight="1" thickBot="1" x14ac:dyDescent="0.25">
      <c r="B1735" s="616" t="s">
        <v>78</v>
      </c>
      <c r="C1735" s="617"/>
      <c r="D1735" s="617"/>
      <c r="E1735" s="617"/>
      <c r="F1735" s="617"/>
      <c r="G1735" s="617"/>
      <c r="H1735" s="618"/>
      <c r="I1735" s="136">
        <f>SUM(I1733:I1734)</f>
        <v>463.38</v>
      </c>
      <c r="J1735" s="340"/>
    </row>
  </sheetData>
  <mergeCells count="827">
    <mergeCell ref="B826:G826"/>
    <mergeCell ref="B827:I827"/>
    <mergeCell ref="B425:H425"/>
    <mergeCell ref="B808:H808"/>
    <mergeCell ref="B809:I809"/>
    <mergeCell ref="B786:H786"/>
    <mergeCell ref="B1374:I1374"/>
    <mergeCell ref="B1377:H1377"/>
    <mergeCell ref="B1378:I1378"/>
    <mergeCell ref="B922:H922"/>
    <mergeCell ref="B846:H846"/>
    <mergeCell ref="B923:I923"/>
    <mergeCell ref="B905:H905"/>
    <mergeCell ref="B906:H906"/>
    <mergeCell ref="D907:H907"/>
    <mergeCell ref="B908:H908"/>
    <mergeCell ref="B910:H910"/>
    <mergeCell ref="D916:I916"/>
    <mergeCell ref="B886:G886"/>
    <mergeCell ref="H886:I886"/>
    <mergeCell ref="B1361:H1361"/>
    <mergeCell ref="B930:H930"/>
    <mergeCell ref="B931:I931"/>
    <mergeCell ref="B934:H934"/>
    <mergeCell ref="B935:H935"/>
    <mergeCell ref="D885:I885"/>
    <mergeCell ref="B1348:I1348"/>
    <mergeCell ref="B917:G917"/>
    <mergeCell ref="B891:H891"/>
    <mergeCell ref="B892:I892"/>
    <mergeCell ref="B896:H896"/>
    <mergeCell ref="B897:I897"/>
    <mergeCell ref="H917:I917"/>
    <mergeCell ref="B927:I927"/>
    <mergeCell ref="B1337:I1337"/>
    <mergeCell ref="B1340:H1340"/>
    <mergeCell ref="D936:H936"/>
    <mergeCell ref="B1187:H1187"/>
    <mergeCell ref="B1178:I1178"/>
    <mergeCell ref="B1315:I1315"/>
    <mergeCell ref="D1188:H1188"/>
    <mergeCell ref="B1177:H1177"/>
    <mergeCell ref="B1164:I1164"/>
    <mergeCell ref="B1323:H1323"/>
    <mergeCell ref="D1050:H1050"/>
    <mergeCell ref="B937:H937"/>
    <mergeCell ref="B939:H939"/>
    <mergeCell ref="B873:H873"/>
    <mergeCell ref="B874:H874"/>
    <mergeCell ref="B434:I434"/>
    <mergeCell ref="B437:H437"/>
    <mergeCell ref="B438:I438"/>
    <mergeCell ref="B857:I857"/>
    <mergeCell ref="D792:I792"/>
    <mergeCell ref="B793:G793"/>
    <mergeCell ref="H793:I793"/>
    <mergeCell ref="B834:H834"/>
    <mergeCell ref="B835:I835"/>
    <mergeCell ref="B838:H838"/>
    <mergeCell ref="B839:I839"/>
    <mergeCell ref="B843:H843"/>
    <mergeCell ref="B868:H868"/>
    <mergeCell ref="B869:I869"/>
    <mergeCell ref="D453:H453"/>
    <mergeCell ref="B856:G856"/>
    <mergeCell ref="B794:G794"/>
    <mergeCell ref="B795:I795"/>
    <mergeCell ref="B798:H798"/>
    <mergeCell ref="B844:H844"/>
    <mergeCell ref="B825:G825"/>
    <mergeCell ref="H825:I825"/>
    <mergeCell ref="B799:I799"/>
    <mergeCell ref="B804:H804"/>
    <mergeCell ref="B805:I805"/>
    <mergeCell ref="B900:H900"/>
    <mergeCell ref="B919:I919"/>
    <mergeCell ref="B888:I888"/>
    <mergeCell ref="B830:H830"/>
    <mergeCell ref="B831:I831"/>
    <mergeCell ref="D845:H845"/>
    <mergeCell ref="H855:I855"/>
    <mergeCell ref="B878:H878"/>
    <mergeCell ref="B901:I901"/>
    <mergeCell ref="D875:H875"/>
    <mergeCell ref="B876:H876"/>
    <mergeCell ref="B918:G918"/>
    <mergeCell ref="B813:H813"/>
    <mergeCell ref="B814:H814"/>
    <mergeCell ref="D815:H815"/>
    <mergeCell ref="B816:H816"/>
    <mergeCell ref="B818:H818"/>
    <mergeCell ref="D824:I824"/>
    <mergeCell ref="B848:H848"/>
    <mergeCell ref="D854:I854"/>
    <mergeCell ref="B855:G855"/>
    <mergeCell ref="D1519:I1519"/>
    <mergeCell ref="B1521:G1521"/>
    <mergeCell ref="B1526:I1526"/>
    <mergeCell ref="B1529:H1529"/>
    <mergeCell ref="B1530:I1530"/>
    <mergeCell ref="D1699:H1699"/>
    <mergeCell ref="B1700:H1700"/>
    <mergeCell ref="B1533:H1533"/>
    <mergeCell ref="D1540:H1540"/>
    <mergeCell ref="B1539:H1539"/>
    <mergeCell ref="B1522:I1522"/>
    <mergeCell ref="B1525:H1525"/>
    <mergeCell ref="B1538:H1538"/>
    <mergeCell ref="B1534:I1534"/>
    <mergeCell ref="B1520:G1520"/>
    <mergeCell ref="H1520:I1520"/>
    <mergeCell ref="D1577:H1577"/>
    <mergeCell ref="B1543:H1543"/>
    <mergeCell ref="B1541:H1541"/>
    <mergeCell ref="D1549:I1549"/>
    <mergeCell ref="B1575:H1575"/>
    <mergeCell ref="B1550:G1550"/>
    <mergeCell ref="B1556:I1556"/>
    <mergeCell ref="B1590:I1590"/>
    <mergeCell ref="H1476:I1476"/>
    <mergeCell ref="B1476:G1476"/>
    <mergeCell ref="B860:H860"/>
    <mergeCell ref="B861:I861"/>
    <mergeCell ref="B864:H864"/>
    <mergeCell ref="B865:I865"/>
    <mergeCell ref="B1373:G1373"/>
    <mergeCell ref="B1341:I1341"/>
    <mergeCell ref="B1347:H1347"/>
    <mergeCell ref="B887:G887"/>
    <mergeCell ref="B926:H926"/>
    <mergeCell ref="B1355:H1355"/>
    <mergeCell ref="B1356:I1356"/>
    <mergeCell ref="B1360:H1360"/>
    <mergeCell ref="B1167:H1167"/>
    <mergeCell ref="B1168:I1168"/>
    <mergeCell ref="B1335:G1335"/>
    <mergeCell ref="H1335:I1335"/>
    <mergeCell ref="B1336:G1336"/>
    <mergeCell ref="B1421:H1421"/>
    <mergeCell ref="B1391:H1391"/>
    <mergeCell ref="D1392:H1392"/>
    <mergeCell ref="B1393:H1393"/>
    <mergeCell ref="D1371:I1371"/>
    <mergeCell ref="B782:H782"/>
    <mergeCell ref="D783:H783"/>
    <mergeCell ref="B784:H784"/>
    <mergeCell ref="B762:G762"/>
    <mergeCell ref="B763:I763"/>
    <mergeCell ref="B766:H766"/>
    <mergeCell ref="B767:I767"/>
    <mergeCell ref="B772:H772"/>
    <mergeCell ref="B773:I773"/>
    <mergeCell ref="B776:H776"/>
    <mergeCell ref="B777:I777"/>
    <mergeCell ref="B781:H781"/>
    <mergeCell ref="D750:H750"/>
    <mergeCell ref="B751:H751"/>
    <mergeCell ref="B753:H753"/>
    <mergeCell ref="D760:I760"/>
    <mergeCell ref="B761:G761"/>
    <mergeCell ref="H761:I761"/>
    <mergeCell ref="B742:H742"/>
    <mergeCell ref="B743:I743"/>
    <mergeCell ref="B748:H748"/>
    <mergeCell ref="B749:H749"/>
    <mergeCell ref="B730:I730"/>
    <mergeCell ref="B734:H734"/>
    <mergeCell ref="B735:I735"/>
    <mergeCell ref="D727:I727"/>
    <mergeCell ref="B721:H721"/>
    <mergeCell ref="B711:I711"/>
    <mergeCell ref="B716:H716"/>
    <mergeCell ref="B717:H717"/>
    <mergeCell ref="D718:H718"/>
    <mergeCell ref="B719:H719"/>
    <mergeCell ref="B738:H738"/>
    <mergeCell ref="B739:I739"/>
    <mergeCell ref="B710:H710"/>
    <mergeCell ref="B1684:I1684"/>
    <mergeCell ref="B1687:H1687"/>
    <mergeCell ref="D1676:I1676"/>
    <mergeCell ref="B1677:G1677"/>
    <mergeCell ref="H1677:I1677"/>
    <mergeCell ref="B1678:G1678"/>
    <mergeCell ref="B1507:H1507"/>
    <mergeCell ref="B1508:H1508"/>
    <mergeCell ref="D1509:H1509"/>
    <mergeCell ref="B1510:H1510"/>
    <mergeCell ref="B1569:H1569"/>
    <mergeCell ref="B1570:I1570"/>
    <mergeCell ref="B1555:H1555"/>
    <mergeCell ref="B1576:H1576"/>
    <mergeCell ref="B1565:H1565"/>
    <mergeCell ref="B1566:I1566"/>
    <mergeCell ref="B1551:G1551"/>
    <mergeCell ref="B1552:I1552"/>
    <mergeCell ref="B728:G728"/>
    <mergeCell ref="H728:I728"/>
    <mergeCell ref="B729:G729"/>
    <mergeCell ref="B182:H182"/>
    <mergeCell ref="B123:H123"/>
    <mergeCell ref="D124:H124"/>
    <mergeCell ref="D167:I167"/>
    <mergeCell ref="B125:H125"/>
    <mergeCell ref="B127:H127"/>
    <mergeCell ref="B703:I703"/>
    <mergeCell ref="B706:H706"/>
    <mergeCell ref="B707:I707"/>
    <mergeCell ref="B685:H685"/>
    <mergeCell ref="D686:H686"/>
    <mergeCell ref="B687:H687"/>
    <mergeCell ref="B689:H689"/>
    <mergeCell ref="D695:I695"/>
    <mergeCell ref="B696:G696"/>
    <mergeCell ref="H696:I696"/>
    <mergeCell ref="B670:I670"/>
    <mergeCell ref="B674:H674"/>
    <mergeCell ref="B675:I675"/>
    <mergeCell ref="B678:H678"/>
    <mergeCell ref="B679:I679"/>
    <mergeCell ref="B684:H684"/>
    <mergeCell ref="B406:H406"/>
    <mergeCell ref="B407:I407"/>
    <mergeCell ref="B433:G433"/>
    <mergeCell ref="B402:G402"/>
    <mergeCell ref="B403:I403"/>
    <mergeCell ref="D422:H422"/>
    <mergeCell ref="B423:H423"/>
    <mergeCell ref="B188:H188"/>
    <mergeCell ref="D358:H358"/>
    <mergeCell ref="B361:H361"/>
    <mergeCell ref="B379:H379"/>
    <mergeCell ref="B380:I380"/>
    <mergeCell ref="B190:H190"/>
    <mergeCell ref="B411:H411"/>
    <mergeCell ref="D400:I400"/>
    <mergeCell ref="B401:G401"/>
    <mergeCell ref="H401:I401"/>
    <mergeCell ref="D431:I431"/>
    <mergeCell ref="B432:G432"/>
    <mergeCell ref="H432:I432"/>
    <mergeCell ref="B412:I412"/>
    <mergeCell ref="B415:H415"/>
    <mergeCell ref="B416:I416"/>
    <mergeCell ref="B420:H420"/>
    <mergeCell ref="B421:H421"/>
    <mergeCell ref="B702:H702"/>
    <mergeCell ref="D663:I663"/>
    <mergeCell ref="B664:G664"/>
    <mergeCell ref="B187:H187"/>
    <mergeCell ref="B651:H651"/>
    <mergeCell ref="D652:H652"/>
    <mergeCell ref="B1150:H1150"/>
    <mergeCell ref="D1151:H1151"/>
    <mergeCell ref="B1140:H1140"/>
    <mergeCell ref="B653:H653"/>
    <mergeCell ref="B1129:I1129"/>
    <mergeCell ref="H625:I625"/>
    <mergeCell ref="B627:I627"/>
    <mergeCell ref="B630:H630"/>
    <mergeCell ref="B625:G625"/>
    <mergeCell ref="B551:H551"/>
    <mergeCell ref="D552:H552"/>
    <mergeCell ref="B553:H553"/>
    <mergeCell ref="B574:I574"/>
    <mergeCell ref="B669:H669"/>
    <mergeCell ref="B666:I666"/>
    <mergeCell ref="B665:G665"/>
    <mergeCell ref="B451:H451"/>
    <mergeCell ref="B452:H452"/>
    <mergeCell ref="B546:I546"/>
    <mergeCell ref="B442:H442"/>
    <mergeCell ref="B443:I443"/>
    <mergeCell ref="B446:H446"/>
    <mergeCell ref="B447:I447"/>
    <mergeCell ref="B454:H454"/>
    <mergeCell ref="B456:H456"/>
    <mergeCell ref="B550:H550"/>
    <mergeCell ref="B697:G697"/>
    <mergeCell ref="B601:I601"/>
    <mergeCell ref="B604:H604"/>
    <mergeCell ref="B605:I605"/>
    <mergeCell ref="B1395:H1395"/>
    <mergeCell ref="B1422:I1422"/>
    <mergeCell ref="B1436:H1436"/>
    <mergeCell ref="D1401:I1401"/>
    <mergeCell ref="B1189:H1189"/>
    <mergeCell ref="B1324:H1324"/>
    <mergeCell ref="D1325:H1325"/>
    <mergeCell ref="B1328:H1328"/>
    <mergeCell ref="B1326:H1326"/>
    <mergeCell ref="D1334:I1334"/>
    <mergeCell ref="B1318:H1318"/>
    <mergeCell ref="B1319:I1319"/>
    <mergeCell ref="B1372:G1372"/>
    <mergeCell ref="H1372:I1372"/>
    <mergeCell ref="D1362:H1362"/>
    <mergeCell ref="B1363:H1363"/>
    <mergeCell ref="B1365:H1365"/>
    <mergeCell ref="B1386:H1386"/>
    <mergeCell ref="B1387:I1387"/>
    <mergeCell ref="B1390:H1390"/>
    <mergeCell ref="B1382:H1382"/>
    <mergeCell ref="B1383:I1383"/>
    <mergeCell ref="B1403:G1403"/>
    <mergeCell ref="B1404:I1404"/>
    <mergeCell ref="H1402:I1402"/>
    <mergeCell ref="B1402:G1402"/>
    <mergeCell ref="D1433:H1433"/>
    <mergeCell ref="B1434:H1434"/>
    <mergeCell ref="B1407:H1407"/>
    <mergeCell ref="B1408:I1408"/>
    <mergeCell ref="B1417:H1417"/>
    <mergeCell ref="B1418:I1418"/>
    <mergeCell ref="B1431:H1431"/>
    <mergeCell ref="B1432:H1432"/>
    <mergeCell ref="B1314:H1314"/>
    <mergeCell ref="B1154:H1154"/>
    <mergeCell ref="B645:H645"/>
    <mergeCell ref="B609:I609"/>
    <mergeCell ref="B612:H612"/>
    <mergeCell ref="B613:H613"/>
    <mergeCell ref="D614:H614"/>
    <mergeCell ref="B615:H615"/>
    <mergeCell ref="B631:I631"/>
    <mergeCell ref="D624:I624"/>
    <mergeCell ref="B626:G626"/>
    <mergeCell ref="D1294:I1294"/>
    <mergeCell ref="H1295:I1295"/>
    <mergeCell ref="B1296:G1296"/>
    <mergeCell ref="B1297:I1297"/>
    <mergeCell ref="B1300:H1300"/>
    <mergeCell ref="B1295:G1295"/>
    <mergeCell ref="B1301:I1301"/>
    <mergeCell ref="B1149:H1149"/>
    <mergeCell ref="D1226:H1226"/>
    <mergeCell ref="B1227:H1227"/>
    <mergeCell ref="D1228:H1228"/>
    <mergeCell ref="B1132:H1132"/>
    <mergeCell ref="B1191:H1191"/>
    <mergeCell ref="B1127:G1127"/>
    <mergeCell ref="B1118:H1118"/>
    <mergeCell ref="D1126:I1126"/>
    <mergeCell ref="H1127:I1127"/>
    <mergeCell ref="B1128:G1128"/>
    <mergeCell ref="B1141:I1141"/>
    <mergeCell ref="B1144:H1144"/>
    <mergeCell ref="B1145:I1145"/>
    <mergeCell ref="B1236:G1236"/>
    <mergeCell ref="H1236:I1236"/>
    <mergeCell ref="B1163:G1163"/>
    <mergeCell ref="D1161:I1161"/>
    <mergeCell ref="H1162:I1162"/>
    <mergeCell ref="B1162:G1162"/>
    <mergeCell ref="B1181:H1181"/>
    <mergeCell ref="B1182:I1182"/>
    <mergeCell ref="B1186:H1186"/>
    <mergeCell ref="B1133:I1133"/>
    <mergeCell ref="B1152:H1152"/>
    <mergeCell ref="B1237:G1237"/>
    <mergeCell ref="D1288:H1288"/>
    <mergeCell ref="B1289:H1289"/>
    <mergeCell ref="B1277:H1277"/>
    <mergeCell ref="B1278:I1278"/>
    <mergeCell ref="D1290:H1290"/>
    <mergeCell ref="B1291:H1291"/>
    <mergeCell ref="B1281:H1281"/>
    <mergeCell ref="B1282:I1282"/>
    <mergeCell ref="B1286:H1286"/>
    <mergeCell ref="B1287:H1287"/>
    <mergeCell ref="B1272:H1272"/>
    <mergeCell ref="B1273:I1273"/>
    <mergeCell ref="B1116:H1116"/>
    <mergeCell ref="D1019:H1019"/>
    <mergeCell ref="B1020:H1020"/>
    <mergeCell ref="B1022:H1022"/>
    <mergeCell ref="B1040:H1040"/>
    <mergeCell ref="B1041:I1041"/>
    <mergeCell ref="B1071:I1071"/>
    <mergeCell ref="B1105:I1105"/>
    <mergeCell ref="B1113:H1113"/>
    <mergeCell ref="B1114:H1114"/>
    <mergeCell ref="D1115:H1115"/>
    <mergeCell ref="B1045:I1045"/>
    <mergeCell ref="B1048:H1048"/>
    <mergeCell ref="B1049:H1049"/>
    <mergeCell ref="B1093:G1093"/>
    <mergeCell ref="B1094:I1094"/>
    <mergeCell ref="B1037:I1037"/>
    <mergeCell ref="B1098:I1098"/>
    <mergeCell ref="B1104:H1104"/>
    <mergeCell ref="D1080:H1080"/>
    <mergeCell ref="B1044:H1044"/>
    <mergeCell ref="B1075:I1075"/>
    <mergeCell ref="B1078:H1078"/>
    <mergeCell ref="B1074:H1074"/>
    <mergeCell ref="B1097:H1097"/>
    <mergeCell ref="D1091:I1091"/>
    <mergeCell ref="B1108:H1108"/>
    <mergeCell ref="B1109:I1109"/>
    <mergeCell ref="D979:I979"/>
    <mergeCell ref="H980:I980"/>
    <mergeCell ref="B980:G980"/>
    <mergeCell ref="B1031:G1031"/>
    <mergeCell ref="B982:I982"/>
    <mergeCell ref="B1007:H1007"/>
    <mergeCell ref="B1053:H1053"/>
    <mergeCell ref="D1060:I1060"/>
    <mergeCell ref="H1061:I1061"/>
    <mergeCell ref="B1062:G1062"/>
    <mergeCell ref="B1061:G1061"/>
    <mergeCell ref="B1051:H1051"/>
    <mergeCell ref="H1092:I1092"/>
    <mergeCell ref="B1092:G1092"/>
    <mergeCell ref="B1079:H1079"/>
    <mergeCell ref="B555:H555"/>
    <mergeCell ref="B968:H968"/>
    <mergeCell ref="B646:I646"/>
    <mergeCell ref="B641:H641"/>
    <mergeCell ref="B642:I642"/>
    <mergeCell ref="B573:H573"/>
    <mergeCell ref="B1008:I1008"/>
    <mergeCell ref="B587:H587"/>
    <mergeCell ref="B1033:I1033"/>
    <mergeCell ref="B949:I949"/>
    <mergeCell ref="B952:H952"/>
    <mergeCell ref="B953:I953"/>
    <mergeCell ref="B981:G981"/>
    <mergeCell ref="B970:H970"/>
    <mergeCell ref="D1030:I1030"/>
    <mergeCell ref="H1031:I1031"/>
    <mergeCell ref="B1032:G1032"/>
    <mergeCell ref="B1011:H1011"/>
    <mergeCell ref="B1012:I1012"/>
    <mergeCell ref="B1017:H1017"/>
    <mergeCell ref="B1018:H1018"/>
    <mergeCell ref="B959:I959"/>
    <mergeCell ref="D946:I946"/>
    <mergeCell ref="B947:G947"/>
    <mergeCell ref="B962:H962"/>
    <mergeCell ref="B963:I963"/>
    <mergeCell ref="B967:H967"/>
    <mergeCell ref="D562:I562"/>
    <mergeCell ref="B1083:H1083"/>
    <mergeCell ref="B1081:H1081"/>
    <mergeCell ref="B1063:I1063"/>
    <mergeCell ref="B1066:H1066"/>
    <mergeCell ref="B1067:I1067"/>
    <mergeCell ref="B1070:H1070"/>
    <mergeCell ref="B1036:H1036"/>
    <mergeCell ref="H947:I947"/>
    <mergeCell ref="B958:H958"/>
    <mergeCell ref="B948:G948"/>
    <mergeCell ref="H664:I664"/>
    <mergeCell ref="B655:H655"/>
    <mergeCell ref="B617:H617"/>
    <mergeCell ref="B596:G596"/>
    <mergeCell ref="B597:I597"/>
    <mergeCell ref="B600:H600"/>
    <mergeCell ref="B650:H650"/>
    <mergeCell ref="B577:H577"/>
    <mergeCell ref="B578:I578"/>
    <mergeCell ref="B698:I698"/>
    <mergeCell ref="B480:I480"/>
    <mergeCell ref="B484:H484"/>
    <mergeCell ref="B485:H485"/>
    <mergeCell ref="D486:H486"/>
    <mergeCell ref="B489:H489"/>
    <mergeCell ref="B487:H487"/>
    <mergeCell ref="H1550:I1550"/>
    <mergeCell ref="H563:I563"/>
    <mergeCell ref="B564:G564"/>
    <mergeCell ref="B565:I565"/>
    <mergeCell ref="B568:H568"/>
    <mergeCell ref="B569:I569"/>
    <mergeCell ref="B563:G563"/>
    <mergeCell ref="D584:H584"/>
    <mergeCell ref="B582:H582"/>
    <mergeCell ref="B583:H583"/>
    <mergeCell ref="B534:I534"/>
    <mergeCell ref="B537:H537"/>
    <mergeCell ref="B538:I538"/>
    <mergeCell ref="B541:H541"/>
    <mergeCell ref="B542:I542"/>
    <mergeCell ref="B545:H545"/>
    <mergeCell ref="D497:I497"/>
    <mergeCell ref="B498:G498"/>
    <mergeCell ref="B466:I466"/>
    <mergeCell ref="B469:H469"/>
    <mergeCell ref="B470:I470"/>
    <mergeCell ref="B475:H475"/>
    <mergeCell ref="B476:I476"/>
    <mergeCell ref="B479:H479"/>
    <mergeCell ref="D463:I463"/>
    <mergeCell ref="H464:I464"/>
    <mergeCell ref="B465:G465"/>
    <mergeCell ref="B464:G464"/>
    <mergeCell ref="B389:H389"/>
    <mergeCell ref="D390:H390"/>
    <mergeCell ref="B393:H393"/>
    <mergeCell ref="B391:H391"/>
    <mergeCell ref="B371:I371"/>
    <mergeCell ref="B374:H374"/>
    <mergeCell ref="B347:H347"/>
    <mergeCell ref="B348:I348"/>
    <mergeCell ref="B351:H351"/>
    <mergeCell ref="B352:I352"/>
    <mergeCell ref="B356:H356"/>
    <mergeCell ref="B357:H357"/>
    <mergeCell ref="B359:H359"/>
    <mergeCell ref="D368:I368"/>
    <mergeCell ref="H369:I369"/>
    <mergeCell ref="B370:G370"/>
    <mergeCell ref="B369:G369"/>
    <mergeCell ref="B375:I375"/>
    <mergeCell ref="B383:H383"/>
    <mergeCell ref="B384:I384"/>
    <mergeCell ref="B388:H388"/>
    <mergeCell ref="D335:I335"/>
    <mergeCell ref="H336:I336"/>
    <mergeCell ref="B337:G337"/>
    <mergeCell ref="B338:I338"/>
    <mergeCell ref="B341:H341"/>
    <mergeCell ref="B342:I342"/>
    <mergeCell ref="B336:G336"/>
    <mergeCell ref="B318:I318"/>
    <mergeCell ref="B323:H323"/>
    <mergeCell ref="B324:H324"/>
    <mergeCell ref="D325:H325"/>
    <mergeCell ref="B328:H328"/>
    <mergeCell ref="B326:H326"/>
    <mergeCell ref="B303:I303"/>
    <mergeCell ref="B307:H307"/>
    <mergeCell ref="B308:I308"/>
    <mergeCell ref="B313:H313"/>
    <mergeCell ref="B314:I314"/>
    <mergeCell ref="B317:H317"/>
    <mergeCell ref="D290:H290"/>
    <mergeCell ref="B293:H293"/>
    <mergeCell ref="D300:I300"/>
    <mergeCell ref="H301:I301"/>
    <mergeCell ref="B302:G302"/>
    <mergeCell ref="B301:G301"/>
    <mergeCell ref="B291:H291"/>
    <mergeCell ref="B278:H278"/>
    <mergeCell ref="B279:I279"/>
    <mergeCell ref="B282:H282"/>
    <mergeCell ref="B283:I283"/>
    <mergeCell ref="B288:H288"/>
    <mergeCell ref="B289:H289"/>
    <mergeCell ref="D265:I265"/>
    <mergeCell ref="H266:I266"/>
    <mergeCell ref="B267:G267"/>
    <mergeCell ref="B268:I268"/>
    <mergeCell ref="B272:H272"/>
    <mergeCell ref="B273:I273"/>
    <mergeCell ref="B266:G266"/>
    <mergeCell ref="B247:I247"/>
    <mergeCell ref="B252:H252"/>
    <mergeCell ref="B253:H253"/>
    <mergeCell ref="D254:H254"/>
    <mergeCell ref="B257:H257"/>
    <mergeCell ref="B255:H255"/>
    <mergeCell ref="B234:I234"/>
    <mergeCell ref="B237:H237"/>
    <mergeCell ref="B238:I238"/>
    <mergeCell ref="B242:H242"/>
    <mergeCell ref="B243:I243"/>
    <mergeCell ref="B246:H246"/>
    <mergeCell ref="B175:I175"/>
    <mergeCell ref="B168:G168"/>
    <mergeCell ref="D231:I231"/>
    <mergeCell ref="B218:H218"/>
    <mergeCell ref="B219:H219"/>
    <mergeCell ref="D220:H220"/>
    <mergeCell ref="B223:H223"/>
    <mergeCell ref="B207:I207"/>
    <mergeCell ref="B210:H210"/>
    <mergeCell ref="B211:I211"/>
    <mergeCell ref="B214:H214"/>
    <mergeCell ref="B215:I215"/>
    <mergeCell ref="D200:I200"/>
    <mergeCell ref="H201:I201"/>
    <mergeCell ref="B202:G202"/>
    <mergeCell ref="B201:G201"/>
    <mergeCell ref="B183:I183"/>
    <mergeCell ref="B206:H206"/>
    <mergeCell ref="D189:H189"/>
    <mergeCell ref="B192:H192"/>
    <mergeCell ref="B203:I203"/>
    <mergeCell ref="B169:G169"/>
    <mergeCell ref="B178:H178"/>
    <mergeCell ref="B179:I179"/>
    <mergeCell ref="D2:I2"/>
    <mergeCell ref="B4:G4"/>
    <mergeCell ref="B5:I5"/>
    <mergeCell ref="B9:H9"/>
    <mergeCell ref="B10:I10"/>
    <mergeCell ref="B13:H13"/>
    <mergeCell ref="B3:G3"/>
    <mergeCell ref="H3:I3"/>
    <mergeCell ref="B82:H82"/>
    <mergeCell ref="B42:I42"/>
    <mergeCell ref="B45:H45"/>
    <mergeCell ref="B46:I46"/>
    <mergeCell ref="B49:H49"/>
    <mergeCell ref="B50:I50"/>
    <mergeCell ref="B53:H53"/>
    <mergeCell ref="B54:H54"/>
    <mergeCell ref="B24:H24"/>
    <mergeCell ref="B35:G35"/>
    <mergeCell ref="H35:I35"/>
    <mergeCell ref="D65:I65"/>
    <mergeCell ref="H66:I66"/>
    <mergeCell ref="B68:I68"/>
    <mergeCell ref="H498:I498"/>
    <mergeCell ref="B499:G499"/>
    <mergeCell ref="B500:I500"/>
    <mergeCell ref="B503:H503"/>
    <mergeCell ref="B504:I504"/>
    <mergeCell ref="B509:H509"/>
    <mergeCell ref="H168:I168"/>
    <mergeCell ref="B106:H106"/>
    <mergeCell ref="B107:I107"/>
    <mergeCell ref="B113:H113"/>
    <mergeCell ref="D157:H157"/>
    <mergeCell ref="B158:H158"/>
    <mergeCell ref="D134:I134"/>
    <mergeCell ref="B135:G135"/>
    <mergeCell ref="H135:I135"/>
    <mergeCell ref="B136:G136"/>
    <mergeCell ref="B137:I137"/>
    <mergeCell ref="B140:H140"/>
    <mergeCell ref="H232:I232"/>
    <mergeCell ref="B233:G233"/>
    <mergeCell ref="B232:G232"/>
    <mergeCell ref="B221:H221"/>
    <mergeCell ref="B170:I170"/>
    <mergeCell ref="B174:H174"/>
    <mergeCell ref="B160:H160"/>
    <mergeCell ref="B103:I103"/>
    <mergeCell ref="B67:G67"/>
    <mergeCell ref="B71:H71"/>
    <mergeCell ref="B72:I72"/>
    <mergeCell ref="B92:H92"/>
    <mergeCell ref="B79:I79"/>
    <mergeCell ref="B88:H88"/>
    <mergeCell ref="B118:I118"/>
    <mergeCell ref="B141:I141"/>
    <mergeCell ref="B146:H146"/>
    <mergeCell ref="B147:I147"/>
    <mergeCell ref="B150:H150"/>
    <mergeCell ref="B151:I151"/>
    <mergeCell ref="B155:H155"/>
    <mergeCell ref="B156:H156"/>
    <mergeCell ref="B83:I83"/>
    <mergeCell ref="B87:H87"/>
    <mergeCell ref="B122:H122"/>
    <mergeCell ref="D89:H89"/>
    <mergeCell ref="B90:H90"/>
    <mergeCell ref="B14:I14"/>
    <mergeCell ref="B17:H17"/>
    <mergeCell ref="B18:I18"/>
    <mergeCell ref="B21:H21"/>
    <mergeCell ref="B22:H22"/>
    <mergeCell ref="D23:H23"/>
    <mergeCell ref="B114:I114"/>
    <mergeCell ref="B117:H117"/>
    <mergeCell ref="B56:H56"/>
    <mergeCell ref="B58:H58"/>
    <mergeCell ref="D100:I100"/>
    <mergeCell ref="B102:G102"/>
    <mergeCell ref="B101:G101"/>
    <mergeCell ref="H101:I101"/>
    <mergeCell ref="B78:H78"/>
    <mergeCell ref="B66:G66"/>
    <mergeCell ref="D55:H55"/>
    <mergeCell ref="B26:H26"/>
    <mergeCell ref="D34:I34"/>
    <mergeCell ref="B36:G36"/>
    <mergeCell ref="B37:I37"/>
    <mergeCell ref="B41:H41"/>
    <mergeCell ref="B1467:H1467"/>
    <mergeCell ref="D1468:H1468"/>
    <mergeCell ref="B1469:H1469"/>
    <mergeCell ref="B1458:H1458"/>
    <mergeCell ref="B1593:H1593"/>
    <mergeCell ref="B1594:I1594"/>
    <mergeCell ref="B1603:H1603"/>
    <mergeCell ref="B1604:I1604"/>
    <mergeCell ref="B1477:G1477"/>
    <mergeCell ref="B1512:H1512"/>
    <mergeCell ref="B1502:H1502"/>
    <mergeCell ref="B1503:I1503"/>
    <mergeCell ref="B1578:H1578"/>
    <mergeCell ref="D1587:I1587"/>
    <mergeCell ref="B1588:G1588"/>
    <mergeCell ref="H1588:I1588"/>
    <mergeCell ref="B1589:G1589"/>
    <mergeCell ref="B1580:H1580"/>
    <mergeCell ref="B1478:I1478"/>
    <mergeCell ref="B1481:H1481"/>
    <mergeCell ref="B1482:I1482"/>
    <mergeCell ref="B1498:H1498"/>
    <mergeCell ref="B1499:I1499"/>
    <mergeCell ref="D1475:I1475"/>
    <mergeCell ref="B1659:H1659"/>
    <mergeCell ref="B1660:I1660"/>
    <mergeCell ref="B1607:H1607"/>
    <mergeCell ref="B1608:I1608"/>
    <mergeCell ref="B1617:H1617"/>
    <mergeCell ref="B1618:H1618"/>
    <mergeCell ref="D1619:H1619"/>
    <mergeCell ref="H1629:I1629"/>
    <mergeCell ref="J1711:K1713"/>
    <mergeCell ref="B1712:I1712"/>
    <mergeCell ref="B1634:H1634"/>
    <mergeCell ref="B1635:I1635"/>
    <mergeCell ref="B1620:H1620"/>
    <mergeCell ref="B1622:H1622"/>
    <mergeCell ref="D1628:I1628"/>
    <mergeCell ref="B1629:G1629"/>
    <mergeCell ref="J1652:L1653"/>
    <mergeCell ref="B1655:H1655"/>
    <mergeCell ref="B1656:I1656"/>
    <mergeCell ref="B1691:H1691"/>
    <mergeCell ref="B1702:H1702"/>
    <mergeCell ref="B1692:I1692"/>
    <mergeCell ref="B1697:H1697"/>
    <mergeCell ref="B1715:H1715"/>
    <mergeCell ref="B1716:I1716"/>
    <mergeCell ref="B1721:H1721"/>
    <mergeCell ref="B1665:H1665"/>
    <mergeCell ref="B1666:H1666"/>
    <mergeCell ref="D1667:H1667"/>
    <mergeCell ref="B1668:H1668"/>
    <mergeCell ref="B1722:I1722"/>
    <mergeCell ref="B1725:H1725"/>
    <mergeCell ref="B1726:I1726"/>
    <mergeCell ref="B1730:H1730"/>
    <mergeCell ref="B1711:G1711"/>
    <mergeCell ref="B1731:H1731"/>
    <mergeCell ref="D1732:H1732"/>
    <mergeCell ref="B1733:H1733"/>
    <mergeCell ref="D1734:H1734"/>
    <mergeCell ref="B1735:H1735"/>
    <mergeCell ref="D1444:I1444"/>
    <mergeCell ref="B1445:G1445"/>
    <mergeCell ref="H1445:I1445"/>
    <mergeCell ref="B1446:G1446"/>
    <mergeCell ref="B1465:H1465"/>
    <mergeCell ref="D1466:H1466"/>
    <mergeCell ref="B1670:H1670"/>
    <mergeCell ref="D1709:I1709"/>
    <mergeCell ref="B1710:G1710"/>
    <mergeCell ref="H1710:I1710"/>
    <mergeCell ref="B1630:G1630"/>
    <mergeCell ref="B1631:I1631"/>
    <mergeCell ref="B1679:I1679"/>
    <mergeCell ref="B1683:H1683"/>
    <mergeCell ref="B1698:H1698"/>
    <mergeCell ref="B1688:I1688"/>
    <mergeCell ref="J1446:K1448"/>
    <mergeCell ref="B1447:I1447"/>
    <mergeCell ref="B1450:H1450"/>
    <mergeCell ref="B1451:I1451"/>
    <mergeCell ref="B1454:H1454"/>
    <mergeCell ref="B1455:I1455"/>
    <mergeCell ref="B1459:I1459"/>
    <mergeCell ref="B1464:H1464"/>
    <mergeCell ref="D1199:I1199"/>
    <mergeCell ref="B1200:G1200"/>
    <mergeCell ref="H1200:I1200"/>
    <mergeCell ref="B1201:G1201"/>
    <mergeCell ref="B1219:H1219"/>
    <mergeCell ref="B1220:I1220"/>
    <mergeCell ref="B1224:H1224"/>
    <mergeCell ref="B1225:H1225"/>
    <mergeCell ref="J1201:K1203"/>
    <mergeCell ref="B1202:I1202"/>
    <mergeCell ref="B1205:H1205"/>
    <mergeCell ref="B1206:I1206"/>
    <mergeCell ref="B1212:H1212"/>
    <mergeCell ref="B1213:I1213"/>
    <mergeCell ref="B1229:H1229"/>
    <mergeCell ref="D1235:I1235"/>
    <mergeCell ref="B1242:I1242"/>
    <mergeCell ref="B1246:H1246"/>
    <mergeCell ref="B1247:I1247"/>
    <mergeCell ref="B1250:H1250"/>
    <mergeCell ref="B1251:I1251"/>
    <mergeCell ref="J1268:K1270"/>
    <mergeCell ref="B1269:I1269"/>
    <mergeCell ref="B1255:H1255"/>
    <mergeCell ref="B1256:H1256"/>
    <mergeCell ref="D1257:H1257"/>
    <mergeCell ref="B1258:H1258"/>
    <mergeCell ref="D1259:H1259"/>
    <mergeCell ref="B1260:H1260"/>
    <mergeCell ref="D1266:I1266"/>
    <mergeCell ref="B1267:G1267"/>
    <mergeCell ref="H1267:I1267"/>
    <mergeCell ref="B1268:G1268"/>
    <mergeCell ref="B521:H521"/>
    <mergeCell ref="B523:H523"/>
    <mergeCell ref="B510:I510"/>
    <mergeCell ref="B513:H513"/>
    <mergeCell ref="B514:I514"/>
    <mergeCell ref="B518:H518"/>
    <mergeCell ref="J1237:K1239"/>
    <mergeCell ref="B1238:I1238"/>
    <mergeCell ref="B1241:H1241"/>
    <mergeCell ref="D520:H520"/>
    <mergeCell ref="B519:H519"/>
    <mergeCell ref="D531:I531"/>
    <mergeCell ref="H532:I532"/>
    <mergeCell ref="B533:G533"/>
    <mergeCell ref="B532:G532"/>
    <mergeCell ref="B585:H585"/>
    <mergeCell ref="D969:H969"/>
    <mergeCell ref="B972:H972"/>
    <mergeCell ref="B985:H985"/>
    <mergeCell ref="B986:I986"/>
    <mergeCell ref="D594:I594"/>
    <mergeCell ref="H595:I595"/>
    <mergeCell ref="B595:G595"/>
    <mergeCell ref="B608:H608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48" firstPageNumber="0" orientation="portrait" horizontalDpi="300" verticalDpi="300" r:id="rId1"/>
  <headerFooter alignWithMargins="0"/>
  <rowBreaks count="25" manualBreakCount="25">
    <brk id="63" min="1" max="8" man="1"/>
    <brk id="132" min="1" max="8" man="1"/>
    <brk id="198" max="16383" man="1"/>
    <brk id="263" min="1" max="8" man="1"/>
    <brk id="333" min="1" max="8" man="1"/>
    <brk id="398" min="1" max="8" man="1"/>
    <brk id="461" min="1" max="8" man="1"/>
    <brk id="529" min="1" max="8" man="1"/>
    <brk id="592" min="1" max="8" man="1"/>
    <brk id="661" min="1" max="8" man="1"/>
    <brk id="725" min="1" max="8" man="1"/>
    <brk id="790" min="1" max="8" man="1"/>
    <brk id="852" min="1" max="8" man="1"/>
    <brk id="914" min="1" max="8" man="1"/>
    <brk id="977" min="1" max="8" man="1"/>
    <brk id="1058" min="1" max="8" man="1"/>
    <brk id="1124" min="1" max="8" man="1"/>
    <brk id="1197" min="1" max="8" man="1"/>
    <brk id="1264" min="1" max="8" man="1"/>
    <brk id="1332" min="1" max="8" man="1"/>
    <brk id="1399" min="1" max="8" man="1"/>
    <brk id="1473" min="1" max="8" man="1"/>
    <brk id="1547" min="1" max="8" man="1"/>
    <brk id="1626" min="1" max="8" man="1"/>
    <brk id="170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5"/>
  <sheetViews>
    <sheetView view="pageBreakPreview" zoomScaleNormal="110" zoomScaleSheetLayoutView="100" workbookViewId="0"/>
  </sheetViews>
  <sheetFormatPr defaultRowHeight="12.75" x14ac:dyDescent="0.2"/>
  <cols>
    <col min="1" max="1" width="3.7109375" style="105" customWidth="1"/>
    <col min="2" max="2" width="10.28515625" style="480" customWidth="1"/>
    <col min="3" max="3" width="45.85546875" style="481" customWidth="1"/>
    <col min="4" max="4" width="9.140625" style="480" customWidth="1"/>
    <col min="5" max="5" width="13" style="489" customWidth="1"/>
    <col min="6" max="6" width="18.5703125" style="480" customWidth="1"/>
    <col min="7" max="7" width="9.7109375" style="442" customWidth="1"/>
    <col min="8" max="8" width="23" style="105" customWidth="1"/>
    <col min="9" max="9" width="9.140625" style="443"/>
    <col min="10" max="16384" width="9.140625" style="105"/>
  </cols>
  <sheetData>
    <row r="1" spans="1:10" x14ac:dyDescent="0.2">
      <c r="A1" s="101"/>
      <c r="B1" s="469"/>
      <c r="C1" s="470"/>
      <c r="D1" s="471"/>
      <c r="F1" s="471"/>
    </row>
    <row r="2" spans="1:10" s="1" customFormat="1" ht="12" customHeight="1" x14ac:dyDescent="0.25">
      <c r="B2" s="734" t="s">
        <v>538</v>
      </c>
      <c r="C2" s="735"/>
      <c r="D2" s="735"/>
      <c r="E2" s="735"/>
      <c r="F2" s="736"/>
      <c r="G2" s="482"/>
      <c r="H2" s="482"/>
      <c r="J2" s="186"/>
    </row>
    <row r="3" spans="1:10" s="4" customFormat="1" ht="12" customHeight="1" x14ac:dyDescent="0.25">
      <c r="B3" s="737"/>
      <c r="C3" s="738"/>
      <c r="D3" s="738"/>
      <c r="E3" s="738"/>
      <c r="F3" s="739"/>
      <c r="G3" s="482"/>
      <c r="H3" s="482"/>
      <c r="J3" s="187"/>
    </row>
    <row r="4" spans="1:10" s="4" customFormat="1" ht="12.75" customHeight="1" x14ac:dyDescent="0.25">
      <c r="B4" s="737"/>
      <c r="C4" s="738"/>
      <c r="D4" s="738"/>
      <c r="E4" s="738"/>
      <c r="F4" s="739"/>
      <c r="G4" s="482"/>
      <c r="H4" s="482"/>
      <c r="J4" s="187"/>
    </row>
    <row r="5" spans="1:10" s="4" customFormat="1" ht="15.75" customHeight="1" x14ac:dyDescent="0.25">
      <c r="B5" s="740"/>
      <c r="C5" s="741"/>
      <c r="D5" s="741"/>
      <c r="E5" s="741"/>
      <c r="F5" s="742"/>
      <c r="G5" s="482"/>
      <c r="H5" s="482"/>
      <c r="J5" s="187"/>
    </row>
    <row r="6" spans="1:10" x14ac:dyDescent="0.2">
      <c r="A6" s="101"/>
      <c r="B6" s="472"/>
      <c r="C6" s="318" t="s">
        <v>629</v>
      </c>
      <c r="D6" s="473" t="s">
        <v>271</v>
      </c>
      <c r="E6" s="490">
        <v>25</v>
      </c>
      <c r="F6" s="474" t="s">
        <v>272</v>
      </c>
    </row>
    <row r="7" spans="1:10" x14ac:dyDescent="0.2">
      <c r="A7" s="391"/>
      <c r="B7" s="469"/>
      <c r="C7" s="475"/>
      <c r="D7" s="476"/>
      <c r="F7" s="476"/>
    </row>
    <row r="8" spans="1:10" x14ac:dyDescent="0.2">
      <c r="A8" s="101"/>
      <c r="B8" s="731" t="s">
        <v>273</v>
      </c>
      <c r="C8" s="732"/>
      <c r="D8" s="732"/>
      <c r="E8" s="732"/>
      <c r="F8" s="733"/>
      <c r="H8" s="105" t="s">
        <v>274</v>
      </c>
    </row>
    <row r="9" spans="1:10" x14ac:dyDescent="0.2">
      <c r="A9" s="391"/>
      <c r="B9" s="469"/>
      <c r="C9" s="475"/>
      <c r="D9" s="476"/>
      <c r="F9" s="476"/>
      <c r="H9" s="493">
        <v>1.9252</v>
      </c>
      <c r="I9" s="443" t="s">
        <v>630</v>
      </c>
    </row>
    <row r="10" spans="1:10" x14ac:dyDescent="0.2">
      <c r="A10" s="101"/>
      <c r="B10" s="486" t="s">
        <v>2</v>
      </c>
      <c r="C10" s="485" t="s">
        <v>275</v>
      </c>
      <c r="D10" s="484" t="s">
        <v>5</v>
      </c>
      <c r="E10" s="491" t="s">
        <v>276</v>
      </c>
      <c r="F10" s="483" t="s">
        <v>277</v>
      </c>
      <c r="H10" s="444" t="s">
        <v>626</v>
      </c>
    </row>
    <row r="11" spans="1:10" s="448" customFormat="1" ht="15.95" customHeight="1" x14ac:dyDescent="0.2">
      <c r="A11" s="477">
        <v>1</v>
      </c>
      <c r="B11" s="116">
        <v>2707</v>
      </c>
      <c r="C11" s="319" t="s">
        <v>549</v>
      </c>
      <c r="D11" s="114" t="s">
        <v>67</v>
      </c>
      <c r="E11" s="268">
        <f>92.73/H9</f>
        <v>48.17</v>
      </c>
      <c r="F11" s="115" t="s">
        <v>278</v>
      </c>
      <c r="G11" s="445"/>
      <c r="H11" s="446"/>
      <c r="I11" s="447"/>
    </row>
    <row r="12" spans="1:10" s="448" customFormat="1" ht="15.95" customHeight="1" x14ac:dyDescent="0.2">
      <c r="A12" s="477"/>
      <c r="B12" s="116">
        <v>2706</v>
      </c>
      <c r="C12" s="319" t="s">
        <v>550</v>
      </c>
      <c r="D12" s="114" t="s">
        <v>67</v>
      </c>
      <c r="E12" s="268">
        <f>50.42/H9</f>
        <v>26.19</v>
      </c>
      <c r="F12" s="115" t="s">
        <v>278</v>
      </c>
      <c r="G12" s="445"/>
      <c r="H12" s="105" t="s">
        <v>274</v>
      </c>
      <c r="I12" s="443"/>
    </row>
    <row r="13" spans="1:10" s="448" customFormat="1" ht="15.95" customHeight="1" x14ac:dyDescent="0.2">
      <c r="A13" s="477">
        <v>1</v>
      </c>
      <c r="B13" s="116">
        <v>20020</v>
      </c>
      <c r="C13" s="319" t="s">
        <v>279</v>
      </c>
      <c r="D13" s="114" t="s">
        <v>67</v>
      </c>
      <c r="E13" s="268">
        <f>14.45/H9</f>
        <v>7.51</v>
      </c>
      <c r="F13" s="115" t="s">
        <v>278</v>
      </c>
      <c r="G13" s="445"/>
      <c r="H13" s="493">
        <v>1.5099</v>
      </c>
      <c r="I13" s="443" t="s">
        <v>631</v>
      </c>
    </row>
    <row r="14" spans="1:10" s="448" customFormat="1" ht="15.95" customHeight="1" x14ac:dyDescent="0.2">
      <c r="A14" s="477">
        <v>1</v>
      </c>
      <c r="B14" s="116">
        <v>6111</v>
      </c>
      <c r="C14" s="320" t="s">
        <v>75</v>
      </c>
      <c r="D14" s="114" t="s">
        <v>67</v>
      </c>
      <c r="E14" s="268">
        <f>6.58/H9</f>
        <v>3.42</v>
      </c>
      <c r="F14" s="115" t="s">
        <v>278</v>
      </c>
      <c r="G14" s="445"/>
      <c r="H14" s="449"/>
      <c r="I14" s="447"/>
    </row>
    <row r="15" spans="1:10" s="448" customFormat="1" ht="15.95" customHeight="1" x14ac:dyDescent="0.2">
      <c r="A15" s="477"/>
      <c r="B15" s="116">
        <v>6115</v>
      </c>
      <c r="C15" s="320" t="s">
        <v>466</v>
      </c>
      <c r="D15" s="114" t="s">
        <v>67</v>
      </c>
      <c r="E15" s="268">
        <f>6.58/H9</f>
        <v>3.42</v>
      </c>
      <c r="F15" s="115" t="s">
        <v>278</v>
      </c>
      <c r="G15" s="445"/>
      <c r="H15" s="449"/>
      <c r="I15" s="447"/>
    </row>
    <row r="16" spans="1:10" s="448" customFormat="1" ht="15.95" customHeight="1" x14ac:dyDescent="0.2">
      <c r="A16" s="477">
        <v>1</v>
      </c>
      <c r="B16" s="116">
        <v>6175</v>
      </c>
      <c r="C16" s="320" t="s">
        <v>280</v>
      </c>
      <c r="D16" s="114" t="s">
        <v>67</v>
      </c>
      <c r="E16" s="268">
        <f>17.29/H9</f>
        <v>8.98</v>
      </c>
      <c r="F16" s="115" t="s">
        <v>278</v>
      </c>
      <c r="G16" s="445"/>
      <c r="I16" s="450"/>
    </row>
    <row r="17" spans="1:9" s="448" customFormat="1" ht="15.95" customHeight="1" x14ac:dyDescent="0.2">
      <c r="A17" s="477">
        <v>1</v>
      </c>
      <c r="B17" s="116">
        <v>4083</v>
      </c>
      <c r="C17" s="319" t="s">
        <v>100</v>
      </c>
      <c r="D17" s="114" t="s">
        <v>67</v>
      </c>
      <c r="E17" s="268">
        <f>16.4/H9</f>
        <v>8.52</v>
      </c>
      <c r="F17" s="115" t="s">
        <v>278</v>
      </c>
      <c r="G17" s="439"/>
      <c r="I17" s="450"/>
    </row>
    <row r="18" spans="1:9" s="448" customFormat="1" ht="15.95" customHeight="1" x14ac:dyDescent="0.2">
      <c r="A18" s="477"/>
      <c r="B18" s="116">
        <v>1213</v>
      </c>
      <c r="C18" s="319" t="s">
        <v>91</v>
      </c>
      <c r="D18" s="114" t="s">
        <v>67</v>
      </c>
      <c r="E18" s="268">
        <f>8.76/H9</f>
        <v>4.55</v>
      </c>
      <c r="F18" s="115" t="s">
        <v>278</v>
      </c>
      <c r="G18" s="445"/>
      <c r="I18" s="450"/>
    </row>
    <row r="19" spans="1:9" s="448" customFormat="1" ht="15.95" customHeight="1" x14ac:dyDescent="0.2">
      <c r="A19" s="477">
        <v>1</v>
      </c>
      <c r="B19" s="116">
        <v>4750</v>
      </c>
      <c r="C19" s="319" t="s">
        <v>152</v>
      </c>
      <c r="D19" s="114" t="s">
        <v>67</v>
      </c>
      <c r="E19" s="268">
        <f>8.76/H9</f>
        <v>4.55</v>
      </c>
      <c r="F19" s="115" t="s">
        <v>278</v>
      </c>
      <c r="G19" s="445"/>
      <c r="I19" s="450"/>
    </row>
    <row r="20" spans="1:9" s="448" customFormat="1" ht="15.95" customHeight="1" x14ac:dyDescent="0.2">
      <c r="A20" s="477"/>
      <c r="B20" s="116">
        <v>4783</v>
      </c>
      <c r="C20" s="319" t="s">
        <v>482</v>
      </c>
      <c r="D20" s="114" t="s">
        <v>67</v>
      </c>
      <c r="E20" s="268">
        <f>8.76/H9</f>
        <v>4.55</v>
      </c>
      <c r="F20" s="115" t="s">
        <v>278</v>
      </c>
      <c r="G20" s="445"/>
      <c r="I20" s="450"/>
    </row>
    <row r="21" spans="1:9" s="448" customFormat="1" ht="15.95" customHeight="1" x14ac:dyDescent="0.2">
      <c r="A21" s="477"/>
      <c r="B21" s="116">
        <v>2436</v>
      </c>
      <c r="C21" s="319" t="s">
        <v>144</v>
      </c>
      <c r="D21" s="114" t="s">
        <v>67</v>
      </c>
      <c r="E21" s="268">
        <f>8.76/H9</f>
        <v>4.55</v>
      </c>
      <c r="F21" s="115" t="s">
        <v>278</v>
      </c>
      <c r="G21" s="445"/>
      <c r="I21" s="450"/>
    </row>
    <row r="22" spans="1:9" s="448" customFormat="1" ht="15.95" customHeight="1" x14ac:dyDescent="0.2">
      <c r="A22" s="477">
        <v>1</v>
      </c>
      <c r="B22" s="116">
        <v>4235</v>
      </c>
      <c r="C22" s="319" t="s">
        <v>106</v>
      </c>
      <c r="D22" s="114" t="s">
        <v>67</v>
      </c>
      <c r="E22" s="268">
        <f>16.86/H9</f>
        <v>8.76</v>
      </c>
      <c r="F22" s="115" t="s">
        <v>278</v>
      </c>
      <c r="G22" s="439"/>
      <c r="I22" s="450"/>
    </row>
    <row r="23" spans="1:9" s="449" customFormat="1" ht="15.95" customHeight="1" x14ac:dyDescent="0.2">
      <c r="A23" s="478">
        <v>1</v>
      </c>
      <c r="B23" s="118">
        <v>4250</v>
      </c>
      <c r="C23" s="321" t="s">
        <v>310</v>
      </c>
      <c r="D23" s="114" t="s">
        <v>67</v>
      </c>
      <c r="E23" s="268">
        <f>14.74/H9</f>
        <v>7.66</v>
      </c>
      <c r="F23" s="115" t="s">
        <v>278</v>
      </c>
      <c r="G23" s="439"/>
      <c r="I23" s="447"/>
    </row>
    <row r="24" spans="1:9" s="448" customFormat="1" ht="15.95" customHeight="1" x14ac:dyDescent="0.2">
      <c r="A24" s="477">
        <v>1</v>
      </c>
      <c r="B24" s="116">
        <v>2696</v>
      </c>
      <c r="C24" s="322" t="s">
        <v>121</v>
      </c>
      <c r="D24" s="118" t="s">
        <v>67</v>
      </c>
      <c r="E24" s="269">
        <f>8.76/H9</f>
        <v>4.55</v>
      </c>
      <c r="F24" s="115" t="s">
        <v>278</v>
      </c>
      <c r="G24" s="445"/>
      <c r="I24" s="450"/>
    </row>
    <row r="25" spans="1:9" s="448" customFormat="1" ht="15.95" customHeight="1" x14ac:dyDescent="0.2">
      <c r="B25" s="116">
        <v>2706</v>
      </c>
      <c r="C25" s="323" t="s">
        <v>186</v>
      </c>
      <c r="D25" s="116" t="s">
        <v>19</v>
      </c>
      <c r="E25" s="268">
        <f>(50.42/H9*220)*H13</f>
        <v>8699.57</v>
      </c>
      <c r="F25" s="116" t="s">
        <v>278</v>
      </c>
      <c r="G25" s="445"/>
      <c r="I25" s="450"/>
    </row>
    <row r="26" spans="1:9" s="448" customFormat="1" ht="15.95" customHeight="1" x14ac:dyDescent="0.2">
      <c r="B26" s="116">
        <v>2355</v>
      </c>
      <c r="C26" s="323" t="s">
        <v>187</v>
      </c>
      <c r="D26" s="116" t="s">
        <v>19</v>
      </c>
      <c r="E26" s="268">
        <f>(14.86/H9*220)*H13</f>
        <v>2563.98</v>
      </c>
      <c r="F26" s="116" t="s">
        <v>278</v>
      </c>
      <c r="G26" s="445">
        <v>10.3</v>
      </c>
      <c r="I26" s="450"/>
    </row>
    <row r="27" spans="1:9" s="448" customFormat="1" ht="15.95" customHeight="1" x14ac:dyDescent="0.2">
      <c r="B27" s="116">
        <v>7592</v>
      </c>
      <c r="C27" s="321" t="s">
        <v>188</v>
      </c>
      <c r="D27" s="118" t="s">
        <v>67</v>
      </c>
      <c r="E27" s="269">
        <f>13.01/H9</f>
        <v>6.76</v>
      </c>
      <c r="F27" s="118" t="s">
        <v>278</v>
      </c>
      <c r="G27" s="439"/>
      <c r="I27" s="450"/>
    </row>
    <row r="28" spans="1:9" s="448" customFormat="1" ht="15.95" customHeight="1" x14ac:dyDescent="0.2">
      <c r="B28" s="116">
        <v>244</v>
      </c>
      <c r="C28" s="321" t="s">
        <v>189</v>
      </c>
      <c r="D28" s="118" t="s">
        <v>67</v>
      </c>
      <c r="E28" s="269">
        <f>4.34/H9</f>
        <v>2.25</v>
      </c>
      <c r="F28" s="118" t="s">
        <v>278</v>
      </c>
      <c r="G28" s="439"/>
      <c r="I28" s="450"/>
    </row>
    <row r="29" spans="1:9" s="448" customFormat="1" ht="15.95" customHeight="1" x14ac:dyDescent="0.2">
      <c r="B29" s="116">
        <v>6113</v>
      </c>
      <c r="C29" s="321" t="s">
        <v>191</v>
      </c>
      <c r="D29" s="118" t="s">
        <v>67</v>
      </c>
      <c r="E29" s="269">
        <f>7.21/H9</f>
        <v>3.75</v>
      </c>
      <c r="F29" s="118" t="s">
        <v>278</v>
      </c>
      <c r="G29" s="439"/>
      <c r="I29" s="450"/>
    </row>
    <row r="30" spans="1:9" s="448" customFormat="1" ht="15.95" customHeight="1" x14ac:dyDescent="0.2">
      <c r="B30" s="116">
        <v>7595</v>
      </c>
      <c r="C30" s="321" t="s">
        <v>405</v>
      </c>
      <c r="D30" s="118" t="s">
        <v>67</v>
      </c>
      <c r="E30" s="269">
        <f>5.94/H9</f>
        <v>3.09</v>
      </c>
      <c r="F30" s="118" t="s">
        <v>278</v>
      </c>
      <c r="G30" s="439"/>
      <c r="I30" s="450"/>
    </row>
    <row r="31" spans="1:9" s="448" customFormat="1" ht="15.95" customHeight="1" x14ac:dyDescent="0.2">
      <c r="B31" s="116"/>
      <c r="C31" s="324" t="s">
        <v>409</v>
      </c>
      <c r="D31" s="118"/>
      <c r="E31" s="269"/>
      <c r="F31" s="118"/>
      <c r="G31" s="439"/>
      <c r="I31" s="450"/>
    </row>
    <row r="32" spans="1:9" s="448" customFormat="1" ht="15.95" customHeight="1" x14ac:dyDescent="0.2">
      <c r="A32" s="477">
        <v>1</v>
      </c>
      <c r="B32" s="116">
        <v>4221</v>
      </c>
      <c r="C32" s="319" t="s">
        <v>281</v>
      </c>
      <c r="D32" s="114" t="s">
        <v>167</v>
      </c>
      <c r="E32" s="268">
        <v>2.38</v>
      </c>
      <c r="F32" s="115" t="s">
        <v>278</v>
      </c>
      <c r="G32" s="445">
        <v>2.19</v>
      </c>
      <c r="I32" s="450"/>
    </row>
    <row r="33" spans="1:9" s="448" customFormat="1" ht="15.95" customHeight="1" x14ac:dyDescent="0.2">
      <c r="A33" s="477">
        <v>1</v>
      </c>
      <c r="B33" s="116">
        <v>4227</v>
      </c>
      <c r="C33" s="319" t="s">
        <v>413</v>
      </c>
      <c r="D33" s="114" t="s">
        <v>167</v>
      </c>
      <c r="E33" s="268">
        <v>14.25</v>
      </c>
      <c r="F33" s="115" t="s">
        <v>278</v>
      </c>
      <c r="G33" s="445">
        <v>12</v>
      </c>
      <c r="I33" s="450"/>
    </row>
    <row r="34" spans="1:9" s="448" customFormat="1" ht="15.95" customHeight="1" x14ac:dyDescent="0.2">
      <c r="A34" s="477">
        <v>1</v>
      </c>
      <c r="B34" s="116">
        <v>5075</v>
      </c>
      <c r="C34" s="320" t="s">
        <v>282</v>
      </c>
      <c r="D34" s="114" t="s">
        <v>88</v>
      </c>
      <c r="E34" s="268">
        <v>6.51</v>
      </c>
      <c r="F34" s="115" t="s">
        <v>278</v>
      </c>
      <c r="G34" s="445">
        <v>6.05</v>
      </c>
      <c r="I34" s="450"/>
    </row>
    <row r="35" spans="1:9" s="509" customFormat="1" ht="15.95" customHeight="1" x14ac:dyDescent="0.2">
      <c r="A35" s="507"/>
      <c r="B35" s="522">
        <v>16</v>
      </c>
      <c r="C35" s="519" t="s">
        <v>364</v>
      </c>
      <c r="D35" s="520" t="s">
        <v>88</v>
      </c>
      <c r="E35" s="521">
        <v>4.13</v>
      </c>
      <c r="F35" s="115" t="s">
        <v>278</v>
      </c>
      <c r="G35" s="508"/>
      <c r="I35" s="510"/>
    </row>
    <row r="36" spans="1:9" s="448" customFormat="1" ht="15.95" customHeight="1" x14ac:dyDescent="0.2">
      <c r="A36" s="477">
        <v>2</v>
      </c>
      <c r="B36" s="116">
        <v>9869</v>
      </c>
      <c r="C36" s="320" t="s">
        <v>373</v>
      </c>
      <c r="D36" s="114" t="s">
        <v>283</v>
      </c>
      <c r="E36" s="268">
        <v>5.08</v>
      </c>
      <c r="F36" s="115" t="s">
        <v>278</v>
      </c>
      <c r="G36" s="445">
        <v>4.6399999999999997</v>
      </c>
      <c r="I36" s="450"/>
    </row>
    <row r="37" spans="1:9" s="448" customFormat="1" ht="15.95" customHeight="1" x14ac:dyDescent="0.2">
      <c r="A37" s="477">
        <v>1</v>
      </c>
      <c r="B37" s="116">
        <v>9866</v>
      </c>
      <c r="C37" s="320" t="s">
        <v>632</v>
      </c>
      <c r="D37" s="114" t="s">
        <v>27</v>
      </c>
      <c r="E37" s="268">
        <v>9.51</v>
      </c>
      <c r="F37" s="115" t="s">
        <v>278</v>
      </c>
      <c r="G37" s="445">
        <v>8.7200000000000006</v>
      </c>
      <c r="I37" s="450"/>
    </row>
    <row r="38" spans="1:9" s="448" customFormat="1" ht="15.95" customHeight="1" x14ac:dyDescent="0.2">
      <c r="A38" s="477">
        <v>1</v>
      </c>
      <c r="B38" s="116">
        <v>122</v>
      </c>
      <c r="C38" s="320" t="s">
        <v>284</v>
      </c>
      <c r="D38" s="114" t="s">
        <v>88</v>
      </c>
      <c r="E38" s="268">
        <v>29.11</v>
      </c>
      <c r="F38" s="115" t="s">
        <v>278</v>
      </c>
      <c r="G38" s="445">
        <v>25.21</v>
      </c>
      <c r="I38" s="450"/>
    </row>
    <row r="39" spans="1:9" s="448" customFormat="1" ht="15.95" customHeight="1" x14ac:dyDescent="0.2">
      <c r="A39" s="477">
        <v>1</v>
      </c>
      <c r="B39" s="116">
        <v>12599</v>
      </c>
      <c r="C39" s="320" t="s">
        <v>285</v>
      </c>
      <c r="D39" s="114" t="s">
        <v>27</v>
      </c>
      <c r="E39" s="268">
        <v>9.83</v>
      </c>
      <c r="F39" s="115" t="s">
        <v>278</v>
      </c>
      <c r="G39" s="445">
        <v>5.91</v>
      </c>
      <c r="I39" s="450"/>
    </row>
    <row r="40" spans="1:9" s="448" customFormat="1" ht="15.95" customHeight="1" x14ac:dyDescent="0.2">
      <c r="A40" s="477">
        <v>1</v>
      </c>
      <c r="B40" s="116">
        <v>9875</v>
      </c>
      <c r="C40" s="320" t="s">
        <v>286</v>
      </c>
      <c r="D40" s="117" t="s">
        <v>27</v>
      </c>
      <c r="E40" s="268">
        <v>8.1199999999999992</v>
      </c>
      <c r="F40" s="115" t="s">
        <v>278</v>
      </c>
      <c r="G40" s="445">
        <v>7.43</v>
      </c>
      <c r="H40" s="448" t="s">
        <v>633</v>
      </c>
      <c r="I40" s="450"/>
    </row>
    <row r="41" spans="1:9" s="448" customFormat="1" ht="15.95" customHeight="1" x14ac:dyDescent="0.2">
      <c r="A41" s="477">
        <v>1</v>
      </c>
      <c r="B41" s="116">
        <v>1379</v>
      </c>
      <c r="C41" s="320" t="s">
        <v>287</v>
      </c>
      <c r="D41" s="114" t="s">
        <v>88</v>
      </c>
      <c r="E41" s="268">
        <v>0.48</v>
      </c>
      <c r="F41" s="115" t="s">
        <v>278</v>
      </c>
      <c r="G41" s="445">
        <v>0.5</v>
      </c>
      <c r="I41" s="450"/>
    </row>
    <row r="42" spans="1:9" s="448" customFormat="1" ht="15.95" customHeight="1" x14ac:dyDescent="0.2">
      <c r="A42" s="477">
        <v>1</v>
      </c>
      <c r="B42" s="116">
        <v>4721</v>
      </c>
      <c r="C42" s="322" t="s">
        <v>521</v>
      </c>
      <c r="D42" s="114" t="s">
        <v>32</v>
      </c>
      <c r="E42" s="268">
        <v>68.13</v>
      </c>
      <c r="F42" s="115" t="s">
        <v>278</v>
      </c>
      <c r="G42" s="445">
        <v>82.83</v>
      </c>
      <c r="I42" s="450"/>
    </row>
    <row r="43" spans="1:9" s="448" customFormat="1" ht="15.95" customHeight="1" x14ac:dyDescent="0.2">
      <c r="A43" s="477">
        <v>1</v>
      </c>
      <c r="B43" s="116">
        <v>4718</v>
      </c>
      <c r="C43" s="321" t="s">
        <v>301</v>
      </c>
      <c r="D43" s="114" t="s">
        <v>32</v>
      </c>
      <c r="E43" s="268">
        <v>65.8</v>
      </c>
      <c r="F43" s="115" t="s">
        <v>278</v>
      </c>
      <c r="G43" s="445">
        <v>80</v>
      </c>
      <c r="H43" s="448">
        <f>G43*0.03</f>
        <v>2.4</v>
      </c>
      <c r="I43" s="450"/>
    </row>
    <row r="44" spans="1:9" s="448" customFormat="1" ht="15.95" customHeight="1" x14ac:dyDescent="0.2">
      <c r="A44" s="477"/>
      <c r="B44" s="116">
        <v>4730</v>
      </c>
      <c r="C44" s="322" t="s">
        <v>492</v>
      </c>
      <c r="D44" s="114" t="s">
        <v>32</v>
      </c>
      <c r="E44" s="268">
        <v>53.32</v>
      </c>
      <c r="F44" s="115" t="s">
        <v>278</v>
      </c>
      <c r="G44" s="445">
        <v>64.819999999999993</v>
      </c>
      <c r="H44" s="448">
        <f>G44*0.04</f>
        <v>2.5928</v>
      </c>
      <c r="I44" s="450"/>
    </row>
    <row r="45" spans="1:9" s="448" customFormat="1" ht="27" customHeight="1" x14ac:dyDescent="0.2">
      <c r="A45" s="477"/>
      <c r="B45" s="116">
        <v>11075</v>
      </c>
      <c r="C45" s="315" t="s">
        <v>438</v>
      </c>
      <c r="D45" s="114" t="s">
        <v>32</v>
      </c>
      <c r="E45" s="268">
        <v>680</v>
      </c>
      <c r="F45" s="115" t="s">
        <v>278</v>
      </c>
      <c r="G45" s="445">
        <v>680</v>
      </c>
      <c r="H45" s="448">
        <f>G45*0.04</f>
        <v>27.2</v>
      </c>
      <c r="I45" s="450"/>
    </row>
    <row r="46" spans="1:9" s="448" customFormat="1" ht="15.95" customHeight="1" x14ac:dyDescent="0.2">
      <c r="A46" s="477">
        <v>1</v>
      </c>
      <c r="B46" s="116">
        <v>370</v>
      </c>
      <c r="C46" s="320" t="s">
        <v>288</v>
      </c>
      <c r="D46" s="114" t="s">
        <v>32</v>
      </c>
      <c r="E46" s="268">
        <v>70</v>
      </c>
      <c r="F46" s="115" t="s">
        <v>278</v>
      </c>
      <c r="G46" s="445">
        <v>65</v>
      </c>
      <c r="I46" s="450"/>
    </row>
    <row r="47" spans="1:9" s="448" customFormat="1" ht="15.95" customHeight="1" x14ac:dyDescent="0.2">
      <c r="A47" s="477">
        <v>1</v>
      </c>
      <c r="B47" s="114">
        <v>367</v>
      </c>
      <c r="C47" s="320" t="s">
        <v>289</v>
      </c>
      <c r="D47" s="114" t="s">
        <v>32</v>
      </c>
      <c r="E47" s="268">
        <v>70</v>
      </c>
      <c r="F47" s="115" t="s">
        <v>278</v>
      </c>
      <c r="G47" s="445">
        <v>70</v>
      </c>
      <c r="I47" s="450"/>
    </row>
    <row r="48" spans="1:9" s="448" customFormat="1" ht="15.95" customHeight="1" x14ac:dyDescent="0.2">
      <c r="A48" s="477"/>
      <c r="B48" s="114">
        <v>368</v>
      </c>
      <c r="C48" s="320" t="s">
        <v>500</v>
      </c>
      <c r="D48" s="114" t="s">
        <v>32</v>
      </c>
      <c r="E48" s="268">
        <v>36</v>
      </c>
      <c r="F48" s="115" t="s">
        <v>278</v>
      </c>
      <c r="G48" s="445">
        <v>36</v>
      </c>
      <c r="I48" s="450"/>
    </row>
    <row r="49" spans="1:11" s="448" customFormat="1" ht="15.95" customHeight="1" x14ac:dyDescent="0.2">
      <c r="A49" s="477">
        <v>1</v>
      </c>
      <c r="B49" s="114">
        <v>404</v>
      </c>
      <c r="C49" s="320" t="s">
        <v>290</v>
      </c>
      <c r="D49" s="114" t="s">
        <v>27</v>
      </c>
      <c r="E49" s="268">
        <v>2.09</v>
      </c>
      <c r="F49" s="115" t="s">
        <v>278</v>
      </c>
      <c r="G49" s="445">
        <v>1.49</v>
      </c>
      <c r="I49" s="450"/>
    </row>
    <row r="50" spans="1:11" s="448" customFormat="1" ht="15.95" customHeight="1" x14ac:dyDescent="0.2">
      <c r="A50" s="477">
        <v>1</v>
      </c>
      <c r="B50" s="116">
        <v>3143</v>
      </c>
      <c r="C50" s="320" t="s">
        <v>291</v>
      </c>
      <c r="D50" s="116" t="s">
        <v>398</v>
      </c>
      <c r="E50" s="268">
        <v>4.1500000000000004</v>
      </c>
      <c r="F50" s="115" t="s">
        <v>278</v>
      </c>
      <c r="G50" s="445">
        <v>4.1500000000000004</v>
      </c>
      <c r="I50" s="450"/>
    </row>
    <row r="51" spans="1:11" s="448" customFormat="1" ht="15.95" customHeight="1" x14ac:dyDescent="0.2">
      <c r="A51" s="477">
        <v>1</v>
      </c>
      <c r="B51" s="116">
        <v>3146</v>
      </c>
      <c r="C51" s="320" t="s">
        <v>292</v>
      </c>
      <c r="D51" s="116" t="s">
        <v>398</v>
      </c>
      <c r="E51" s="268">
        <v>1.8</v>
      </c>
      <c r="F51" s="115" t="s">
        <v>278</v>
      </c>
      <c r="G51" s="445">
        <v>1.8</v>
      </c>
      <c r="I51" s="450"/>
    </row>
    <row r="52" spans="1:11" s="448" customFormat="1" ht="15.95" customHeight="1" x14ac:dyDescent="0.2">
      <c r="A52" s="477">
        <v>1</v>
      </c>
      <c r="B52" s="116">
        <v>13914</v>
      </c>
      <c r="C52" s="321" t="s">
        <v>293</v>
      </c>
      <c r="D52" s="116" t="s">
        <v>398</v>
      </c>
      <c r="E52" s="268">
        <v>1379.34</v>
      </c>
      <c r="F52" s="115" t="s">
        <v>278</v>
      </c>
      <c r="G52" s="445">
        <v>1253.8699999999999</v>
      </c>
      <c r="H52" s="128">
        <f>G52*0.02</f>
        <v>25.08</v>
      </c>
      <c r="I52" s="450"/>
    </row>
    <row r="53" spans="1:11" s="509" customFormat="1" ht="15.95" customHeight="1" x14ac:dyDescent="0.2">
      <c r="A53" s="507"/>
      <c r="B53" s="527"/>
      <c r="C53" s="536" t="s">
        <v>499</v>
      </c>
      <c r="D53" s="520" t="s">
        <v>67</v>
      </c>
      <c r="E53" s="521">
        <v>150</v>
      </c>
      <c r="F53" s="533" t="s">
        <v>320</v>
      </c>
      <c r="G53" s="508"/>
      <c r="H53" s="512"/>
      <c r="I53" s="510"/>
    </row>
    <row r="54" spans="1:11" s="509" customFormat="1" ht="66.75" customHeight="1" x14ac:dyDescent="0.2">
      <c r="A54" s="507"/>
      <c r="B54" s="527"/>
      <c r="C54" s="536" t="s">
        <v>195</v>
      </c>
      <c r="D54" s="520" t="s">
        <v>398</v>
      </c>
      <c r="E54" s="543">
        <f>(7420+5300)/2</f>
        <v>6360</v>
      </c>
      <c r="F54" s="533" t="s">
        <v>320</v>
      </c>
      <c r="G54" s="508" t="s">
        <v>637</v>
      </c>
      <c r="H54" s="512"/>
      <c r="I54" s="510"/>
    </row>
    <row r="55" spans="1:11" s="509" customFormat="1" ht="28.5" customHeight="1" x14ac:dyDescent="0.2">
      <c r="A55" s="507"/>
      <c r="B55" s="522"/>
      <c r="C55" s="542" t="s">
        <v>545</v>
      </c>
      <c r="D55" s="527" t="s">
        <v>398</v>
      </c>
      <c r="E55" s="543">
        <v>1500</v>
      </c>
      <c r="F55" s="533" t="s">
        <v>320</v>
      </c>
      <c r="G55" s="508"/>
      <c r="I55" s="510"/>
    </row>
    <row r="56" spans="1:11" s="448" customFormat="1" ht="28.5" customHeight="1" x14ac:dyDescent="0.2">
      <c r="A56" s="477"/>
      <c r="B56" s="114">
        <v>759</v>
      </c>
      <c r="C56" s="325" t="s">
        <v>535</v>
      </c>
      <c r="D56" s="116" t="s">
        <v>398</v>
      </c>
      <c r="E56" s="511">
        <v>4068.37</v>
      </c>
      <c r="F56" s="115" t="s">
        <v>278</v>
      </c>
      <c r="G56" s="445">
        <v>4000.08</v>
      </c>
      <c r="I56" s="450"/>
    </row>
    <row r="57" spans="1:11" s="509" customFormat="1" ht="25.5" x14ac:dyDescent="0.2">
      <c r="A57" s="507">
        <v>1</v>
      </c>
      <c r="B57" s="527"/>
      <c r="C57" s="519" t="s">
        <v>628</v>
      </c>
      <c r="D57" s="520" t="s">
        <v>27</v>
      </c>
      <c r="E57" s="521">
        <f>70.91/4</f>
        <v>17.73</v>
      </c>
      <c r="F57" s="533" t="s">
        <v>320</v>
      </c>
      <c r="G57" s="513" t="s">
        <v>639</v>
      </c>
      <c r="H57" s="514"/>
      <c r="I57" s="515"/>
      <c r="J57" s="516"/>
      <c r="K57" s="509">
        <v>17.98</v>
      </c>
    </row>
    <row r="58" spans="1:11" s="509" customFormat="1" ht="15.95" customHeight="1" x14ac:dyDescent="0.2">
      <c r="A58" s="507"/>
      <c r="B58" s="527"/>
      <c r="C58" s="541" t="s">
        <v>437</v>
      </c>
      <c r="D58" s="520" t="s">
        <v>27</v>
      </c>
      <c r="E58" s="521">
        <v>100</v>
      </c>
      <c r="F58" s="533" t="s">
        <v>320</v>
      </c>
      <c r="G58" s="513" t="s">
        <v>639</v>
      </c>
      <c r="H58" s="514"/>
      <c r="I58" s="515"/>
      <c r="J58" s="516"/>
    </row>
    <row r="59" spans="1:11" s="448" customFormat="1" ht="15.95" customHeight="1" x14ac:dyDescent="0.2">
      <c r="A59" s="477">
        <v>1</v>
      </c>
      <c r="B59" s="116">
        <v>643</v>
      </c>
      <c r="C59" s="313" t="s">
        <v>128</v>
      </c>
      <c r="D59" s="114" t="s">
        <v>67</v>
      </c>
      <c r="E59" s="268">
        <v>4.05</v>
      </c>
      <c r="F59" s="115" t="s">
        <v>278</v>
      </c>
      <c r="G59" s="455">
        <v>3.42</v>
      </c>
      <c r="H59" s="449" t="s">
        <v>501</v>
      </c>
      <c r="I59" s="447">
        <f>390/4</f>
        <v>97.5</v>
      </c>
      <c r="J59" s="449"/>
      <c r="K59" s="449"/>
    </row>
    <row r="60" spans="1:11" s="448" customFormat="1" ht="15.95" customHeight="1" x14ac:dyDescent="0.2">
      <c r="A60" s="477">
        <v>1</v>
      </c>
      <c r="B60" s="116">
        <v>7271</v>
      </c>
      <c r="C60" s="320" t="s">
        <v>294</v>
      </c>
      <c r="D60" s="116" t="s">
        <v>398</v>
      </c>
      <c r="E60" s="268">
        <v>0.45</v>
      </c>
      <c r="F60" s="115" t="s">
        <v>278</v>
      </c>
      <c r="G60" s="445">
        <v>0.44</v>
      </c>
      <c r="I60" s="450"/>
    </row>
    <row r="61" spans="1:11" s="448" customFormat="1" ht="15.95" customHeight="1" x14ac:dyDescent="0.2">
      <c r="A61" s="477">
        <v>1</v>
      </c>
      <c r="B61" s="116">
        <v>4114</v>
      </c>
      <c r="C61" s="320" t="s">
        <v>295</v>
      </c>
      <c r="D61" s="116" t="s">
        <v>398</v>
      </c>
      <c r="E61" s="268">
        <v>34.56</v>
      </c>
      <c r="F61" s="115" t="s">
        <v>278</v>
      </c>
      <c r="G61" s="445">
        <v>32.700000000000003</v>
      </c>
      <c r="H61" s="449"/>
      <c r="I61" s="450"/>
    </row>
    <row r="62" spans="1:11" s="509" customFormat="1" ht="27.75" customHeight="1" x14ac:dyDescent="0.2">
      <c r="A62" s="507"/>
      <c r="B62" s="530"/>
      <c r="C62" s="531" t="s">
        <v>539</v>
      </c>
      <c r="D62" s="532" t="s">
        <v>67</v>
      </c>
      <c r="E62" s="521">
        <f>(2500/30)/8</f>
        <v>10.42</v>
      </c>
      <c r="F62" s="533" t="s">
        <v>329</v>
      </c>
      <c r="G62" s="508" t="s">
        <v>636</v>
      </c>
      <c r="I62" s="510"/>
    </row>
    <row r="63" spans="1:11" s="509" customFormat="1" ht="27.75" customHeight="1" x14ac:dyDescent="0.2">
      <c r="A63" s="507"/>
      <c r="B63" s="530">
        <v>7252</v>
      </c>
      <c r="C63" s="531" t="s">
        <v>408</v>
      </c>
      <c r="D63" s="532" t="s">
        <v>67</v>
      </c>
      <c r="E63" s="521">
        <v>1.88</v>
      </c>
      <c r="F63" s="533" t="s">
        <v>278</v>
      </c>
      <c r="G63" s="508"/>
      <c r="I63" s="510"/>
    </row>
    <row r="64" spans="1:11" s="448" customFormat="1" ht="29.25" customHeight="1" x14ac:dyDescent="0.2">
      <c r="A64" s="477">
        <v>1</v>
      </c>
      <c r="B64" s="116">
        <v>4102</v>
      </c>
      <c r="C64" s="313" t="s">
        <v>296</v>
      </c>
      <c r="D64" s="116" t="s">
        <v>398</v>
      </c>
      <c r="E64" s="268">
        <v>33.6</v>
      </c>
      <c r="F64" s="115" t="s">
        <v>278</v>
      </c>
      <c r="G64" s="445">
        <v>31.8</v>
      </c>
      <c r="I64" s="450"/>
    </row>
    <row r="65" spans="1:11" s="448" customFormat="1" ht="15.95" customHeight="1" x14ac:dyDescent="0.2">
      <c r="A65" s="477"/>
      <c r="B65" s="116">
        <v>340</v>
      </c>
      <c r="C65" s="325" t="s">
        <v>546</v>
      </c>
      <c r="D65" s="114" t="s">
        <v>27</v>
      </c>
      <c r="E65" s="268">
        <v>0.34</v>
      </c>
      <c r="F65" s="115" t="s">
        <v>278</v>
      </c>
      <c r="G65" s="445">
        <v>0.35</v>
      </c>
      <c r="I65" s="450"/>
    </row>
    <row r="66" spans="1:11" s="448" customFormat="1" ht="15.95" customHeight="1" x14ac:dyDescent="0.2">
      <c r="A66" s="477">
        <v>1</v>
      </c>
      <c r="B66" s="116">
        <v>344</v>
      </c>
      <c r="C66" s="325" t="s">
        <v>297</v>
      </c>
      <c r="D66" s="114" t="s">
        <v>88</v>
      </c>
      <c r="E66" s="268">
        <v>8.36</v>
      </c>
      <c r="F66" s="115" t="s">
        <v>278</v>
      </c>
      <c r="G66" s="445">
        <v>8.74</v>
      </c>
      <c r="I66" s="450"/>
    </row>
    <row r="67" spans="1:11" s="448" customFormat="1" ht="15.95" customHeight="1" x14ac:dyDescent="0.2">
      <c r="A67" s="477">
        <v>1</v>
      </c>
      <c r="B67" s="116">
        <v>338</v>
      </c>
      <c r="C67" s="313" t="s">
        <v>298</v>
      </c>
      <c r="D67" s="114" t="s">
        <v>88</v>
      </c>
      <c r="E67" s="268">
        <v>7.2</v>
      </c>
      <c r="F67" s="115" t="s">
        <v>278</v>
      </c>
      <c r="G67" s="445">
        <v>7.53</v>
      </c>
      <c r="I67" s="450"/>
    </row>
    <row r="68" spans="1:11" s="448" customFormat="1" ht="15.95" customHeight="1" x14ac:dyDescent="0.2">
      <c r="A68" s="477">
        <v>1</v>
      </c>
      <c r="B68" s="116">
        <v>337</v>
      </c>
      <c r="C68" s="325" t="s">
        <v>164</v>
      </c>
      <c r="D68" s="114" t="s">
        <v>88</v>
      </c>
      <c r="E68" s="268">
        <v>8</v>
      </c>
      <c r="F68" s="115" t="s">
        <v>278</v>
      </c>
      <c r="G68" s="445">
        <v>7.97</v>
      </c>
      <c r="I68" s="450"/>
    </row>
    <row r="69" spans="1:11" s="448" customFormat="1" ht="15.95" customHeight="1" x14ac:dyDescent="0.2">
      <c r="A69" s="477">
        <v>1</v>
      </c>
      <c r="B69" s="116" t="s">
        <v>299</v>
      </c>
      <c r="C69" s="313" t="s">
        <v>300</v>
      </c>
      <c r="D69" s="114" t="s">
        <v>88</v>
      </c>
      <c r="E69" s="268">
        <v>3.39</v>
      </c>
      <c r="F69" s="115" t="s">
        <v>278</v>
      </c>
      <c r="G69" s="445">
        <v>4.0599999999999996</v>
      </c>
      <c r="I69" s="450"/>
      <c r="J69" s="458"/>
    </row>
    <row r="70" spans="1:11" s="448" customFormat="1" ht="15.95" customHeight="1" x14ac:dyDescent="0.2">
      <c r="A70" s="477">
        <v>1</v>
      </c>
      <c r="B70" s="116">
        <v>11161</v>
      </c>
      <c r="C70" s="321" t="s">
        <v>156</v>
      </c>
      <c r="D70" s="114" t="s">
        <v>88</v>
      </c>
      <c r="E70" s="268">
        <v>0.89</v>
      </c>
      <c r="F70" s="115" t="s">
        <v>278</v>
      </c>
      <c r="G70" s="445">
        <v>0.83</v>
      </c>
      <c r="I70" s="450"/>
    </row>
    <row r="71" spans="1:11" s="448" customFormat="1" ht="15.95" customHeight="1" x14ac:dyDescent="0.2">
      <c r="A71" s="477">
        <v>1</v>
      </c>
      <c r="B71" s="116">
        <v>12775</v>
      </c>
      <c r="C71" s="321" t="s">
        <v>595</v>
      </c>
      <c r="D71" s="116" t="s">
        <v>398</v>
      </c>
      <c r="E71" s="268">
        <v>295.35000000000002</v>
      </c>
      <c r="F71" s="115" t="s">
        <v>278</v>
      </c>
      <c r="G71" s="445">
        <v>16.8</v>
      </c>
      <c r="I71" s="450"/>
    </row>
    <row r="72" spans="1:11" s="448" customFormat="1" ht="15.95" customHeight="1" x14ac:dyDescent="0.2">
      <c r="A72" s="477">
        <v>1</v>
      </c>
      <c r="B72" s="116">
        <v>11822</v>
      </c>
      <c r="C72" s="321" t="s">
        <v>159</v>
      </c>
      <c r="D72" s="116" t="s">
        <v>398</v>
      </c>
      <c r="E72" s="268">
        <v>6.8</v>
      </c>
      <c r="F72" s="115" t="s">
        <v>278</v>
      </c>
      <c r="G72" s="445">
        <v>6</v>
      </c>
      <c r="I72" s="450"/>
    </row>
    <row r="73" spans="1:11" s="448" customFormat="1" ht="15.95" customHeight="1" x14ac:dyDescent="0.2">
      <c r="A73" s="477"/>
      <c r="B73" s="116">
        <v>11829</v>
      </c>
      <c r="C73" s="321" t="s">
        <v>596</v>
      </c>
      <c r="D73" s="116" t="s">
        <v>398</v>
      </c>
      <c r="E73" s="268">
        <v>19.829999999999998</v>
      </c>
      <c r="F73" s="115" t="s">
        <v>278</v>
      </c>
      <c r="G73" s="445"/>
      <c r="I73" s="450"/>
    </row>
    <row r="74" spans="1:11" s="448" customFormat="1" ht="25.5" x14ac:dyDescent="0.2">
      <c r="A74" s="477"/>
      <c r="B74" s="116">
        <v>85</v>
      </c>
      <c r="C74" s="321" t="s">
        <v>597</v>
      </c>
      <c r="D74" s="146" t="s">
        <v>398</v>
      </c>
      <c r="E74" s="268">
        <v>19.829999999999998</v>
      </c>
      <c r="F74" s="115" t="s">
        <v>278</v>
      </c>
      <c r="G74" s="445"/>
      <c r="I74" s="450"/>
    </row>
    <row r="75" spans="1:11" s="448" customFormat="1" ht="25.5" x14ac:dyDescent="0.2">
      <c r="A75" s="477"/>
      <c r="B75" s="116">
        <v>71</v>
      </c>
      <c r="C75" s="321" t="s">
        <v>598</v>
      </c>
      <c r="D75" s="146" t="s">
        <v>398</v>
      </c>
      <c r="E75" s="268">
        <v>13.02</v>
      </c>
      <c r="F75" s="115" t="s">
        <v>278</v>
      </c>
      <c r="G75" s="445"/>
      <c r="I75" s="450"/>
    </row>
    <row r="76" spans="1:11" s="448" customFormat="1" ht="15.95" customHeight="1" x14ac:dyDescent="0.2">
      <c r="A76" s="477">
        <v>1</v>
      </c>
      <c r="B76" s="116">
        <v>2692</v>
      </c>
      <c r="C76" s="321" t="s">
        <v>160</v>
      </c>
      <c r="D76" s="114" t="s">
        <v>167</v>
      </c>
      <c r="E76" s="268">
        <v>8.9499999999999993</v>
      </c>
      <c r="F76" s="115" t="s">
        <v>278</v>
      </c>
      <c r="G76" s="445">
        <v>8.84</v>
      </c>
      <c r="H76" s="448">
        <f>G76*0.03</f>
        <v>0.26519999999999999</v>
      </c>
      <c r="I76" s="450"/>
    </row>
    <row r="77" spans="1:11" s="448" customFormat="1" ht="15.95" customHeight="1" x14ac:dyDescent="0.2">
      <c r="A77" s="477">
        <v>1</v>
      </c>
      <c r="B77" s="116">
        <v>7345</v>
      </c>
      <c r="C77" s="321" t="s">
        <v>302</v>
      </c>
      <c r="D77" s="114" t="s">
        <v>167</v>
      </c>
      <c r="E77" s="268">
        <v>12.88</v>
      </c>
      <c r="F77" s="115" t="s">
        <v>278</v>
      </c>
      <c r="G77" s="445">
        <v>11.84</v>
      </c>
      <c r="H77" s="448">
        <f>G77*0.03</f>
        <v>0.35520000000000002</v>
      </c>
      <c r="I77" s="450"/>
    </row>
    <row r="78" spans="1:11" s="448" customFormat="1" ht="15.95" customHeight="1" x14ac:dyDescent="0.2">
      <c r="A78" s="477"/>
      <c r="B78" s="116">
        <v>7293</v>
      </c>
      <c r="C78" s="320" t="s">
        <v>486</v>
      </c>
      <c r="D78" s="114" t="s">
        <v>167</v>
      </c>
      <c r="E78" s="268">
        <v>21.43</v>
      </c>
      <c r="F78" s="115" t="s">
        <v>278</v>
      </c>
      <c r="G78" s="445">
        <v>19.61</v>
      </c>
      <c r="H78" s="448">
        <f>G78*0.03</f>
        <v>0.58830000000000005</v>
      </c>
      <c r="I78" s="450"/>
    </row>
    <row r="79" spans="1:11" s="448" customFormat="1" ht="15.95" customHeight="1" x14ac:dyDescent="0.2">
      <c r="A79" s="477">
        <v>1</v>
      </c>
      <c r="B79" s="116">
        <v>4492</v>
      </c>
      <c r="C79" s="322" t="s">
        <v>303</v>
      </c>
      <c r="D79" s="118" t="s">
        <v>27</v>
      </c>
      <c r="E79" s="269">
        <v>7.92</v>
      </c>
      <c r="F79" s="115" t="s">
        <v>278</v>
      </c>
      <c r="G79" s="459">
        <v>7.95</v>
      </c>
      <c r="H79" s="448">
        <f t="shared" ref="H79:H91" si="0">G79*0.03</f>
        <v>0.23849999999999999</v>
      </c>
      <c r="I79" s="450"/>
    </row>
    <row r="80" spans="1:11" s="448" customFormat="1" ht="28.5" customHeight="1" x14ac:dyDescent="0.2">
      <c r="A80" s="477">
        <v>1</v>
      </c>
      <c r="B80" s="116">
        <v>3743</v>
      </c>
      <c r="C80" s="313" t="s">
        <v>343</v>
      </c>
      <c r="D80" s="114" t="s">
        <v>85</v>
      </c>
      <c r="E80" s="268">
        <v>26.83</v>
      </c>
      <c r="F80" s="115" t="s">
        <v>278</v>
      </c>
      <c r="G80" s="460">
        <v>24.91</v>
      </c>
      <c r="H80" s="448">
        <f t="shared" si="0"/>
        <v>0.74729999999999996</v>
      </c>
      <c r="I80" s="447"/>
      <c r="J80" s="449"/>
      <c r="K80" s="449"/>
    </row>
    <row r="81" spans="1:9" s="448" customFormat="1" ht="15.95" customHeight="1" x14ac:dyDescent="0.2">
      <c r="A81" s="477">
        <v>1</v>
      </c>
      <c r="B81" s="116">
        <v>3767</v>
      </c>
      <c r="C81" s="321" t="s">
        <v>170</v>
      </c>
      <c r="D81" s="116" t="s">
        <v>398</v>
      </c>
      <c r="E81" s="268">
        <v>0.31</v>
      </c>
      <c r="F81" s="115" t="s">
        <v>278</v>
      </c>
      <c r="G81" s="445">
        <v>0.28999999999999998</v>
      </c>
      <c r="H81" s="448">
        <f t="shared" si="0"/>
        <v>8.6999999999999994E-3</v>
      </c>
      <c r="I81" s="450"/>
    </row>
    <row r="82" spans="1:9" s="448" customFormat="1" ht="15.95" customHeight="1" x14ac:dyDescent="0.2">
      <c r="A82" s="477"/>
      <c r="B82" s="116">
        <v>3768</v>
      </c>
      <c r="C82" s="321" t="s">
        <v>485</v>
      </c>
      <c r="D82" s="116" t="s">
        <v>398</v>
      </c>
      <c r="E82" s="268">
        <v>1.37</v>
      </c>
      <c r="F82" s="115" t="s">
        <v>278</v>
      </c>
      <c r="G82" s="445">
        <v>1.31</v>
      </c>
      <c r="H82" s="448">
        <f t="shared" si="0"/>
        <v>3.9300000000000002E-2</v>
      </c>
      <c r="I82" s="450"/>
    </row>
    <row r="83" spans="1:9" s="448" customFormat="1" ht="15.95" customHeight="1" x14ac:dyDescent="0.2">
      <c r="A83" s="477">
        <v>1</v>
      </c>
      <c r="B83" s="116">
        <v>4938</v>
      </c>
      <c r="C83" s="313" t="s">
        <v>304</v>
      </c>
      <c r="D83" s="116" t="s">
        <v>398</v>
      </c>
      <c r="E83" s="268">
        <v>396.75</v>
      </c>
      <c r="F83" s="115" t="s">
        <v>278</v>
      </c>
      <c r="G83" s="461">
        <v>319.2</v>
      </c>
      <c r="H83" s="448">
        <f t="shared" si="0"/>
        <v>9.5760000000000005</v>
      </c>
      <c r="I83" s="450"/>
    </row>
    <row r="84" spans="1:9" s="448" customFormat="1" ht="15.95" customHeight="1" x14ac:dyDescent="0.2">
      <c r="A84" s="477">
        <v>1</v>
      </c>
      <c r="B84" s="116">
        <v>2420</v>
      </c>
      <c r="C84" s="321" t="s">
        <v>305</v>
      </c>
      <c r="D84" s="116" t="s">
        <v>398</v>
      </c>
      <c r="E84" s="268">
        <v>6.13</v>
      </c>
      <c r="F84" s="115" t="s">
        <v>278</v>
      </c>
      <c r="G84" s="461">
        <v>6.09</v>
      </c>
      <c r="H84" s="448">
        <f t="shared" si="0"/>
        <v>0.1827</v>
      </c>
      <c r="I84" s="450"/>
    </row>
    <row r="85" spans="1:9" s="448" customFormat="1" ht="15.95" customHeight="1" x14ac:dyDescent="0.2">
      <c r="A85" s="477">
        <v>1</v>
      </c>
      <c r="B85" s="116">
        <v>3080</v>
      </c>
      <c r="C85" s="321" t="s">
        <v>306</v>
      </c>
      <c r="D85" s="116" t="s">
        <v>398</v>
      </c>
      <c r="E85" s="268">
        <v>32.5</v>
      </c>
      <c r="F85" s="115" t="s">
        <v>278</v>
      </c>
      <c r="G85" s="445">
        <v>29.23</v>
      </c>
      <c r="H85" s="448">
        <f t="shared" si="0"/>
        <v>0.87690000000000001</v>
      </c>
      <c r="I85" s="450"/>
    </row>
    <row r="86" spans="1:9" s="448" customFormat="1" ht="15.95" customHeight="1" x14ac:dyDescent="0.2">
      <c r="A86" s="477">
        <v>1</v>
      </c>
      <c r="B86" s="116">
        <v>20078</v>
      </c>
      <c r="C86" s="321" t="s">
        <v>307</v>
      </c>
      <c r="D86" s="116" t="s">
        <v>398</v>
      </c>
      <c r="E86" s="268">
        <v>24.59</v>
      </c>
      <c r="F86" s="115" t="s">
        <v>278</v>
      </c>
      <c r="G86" s="445">
        <v>21.29</v>
      </c>
      <c r="H86" s="448">
        <f t="shared" si="0"/>
        <v>0.63870000000000005</v>
      </c>
      <c r="I86" s="450"/>
    </row>
    <row r="87" spans="1:9" s="448" customFormat="1" ht="15.95" customHeight="1" x14ac:dyDescent="0.2">
      <c r="A87" s="477">
        <v>1</v>
      </c>
      <c r="B87" s="116">
        <v>1160</v>
      </c>
      <c r="C87" s="321" t="s">
        <v>309</v>
      </c>
      <c r="D87" s="114" t="s">
        <v>67</v>
      </c>
      <c r="E87" s="268">
        <v>8.27</v>
      </c>
      <c r="F87" s="115" t="s">
        <v>278</v>
      </c>
      <c r="G87" s="445">
        <v>8.19</v>
      </c>
      <c r="H87" s="448">
        <f t="shared" si="0"/>
        <v>0.2457</v>
      </c>
      <c r="I87" s="450"/>
    </row>
    <row r="88" spans="1:9" s="448" customFormat="1" ht="15.95" customHeight="1" x14ac:dyDescent="0.2">
      <c r="A88" s="477">
        <v>1</v>
      </c>
      <c r="B88" s="180">
        <v>4491</v>
      </c>
      <c r="C88" s="319" t="s">
        <v>311</v>
      </c>
      <c r="D88" s="114" t="s">
        <v>27</v>
      </c>
      <c r="E88" s="268">
        <v>5.25</v>
      </c>
      <c r="F88" s="115" t="s">
        <v>278</v>
      </c>
      <c r="G88" s="445">
        <v>5.27</v>
      </c>
      <c r="H88" s="448">
        <f t="shared" si="0"/>
        <v>0.15809999999999999</v>
      </c>
      <c r="I88" s="450"/>
    </row>
    <row r="89" spans="1:9" s="448" customFormat="1" ht="15.95" customHeight="1" x14ac:dyDescent="0.2">
      <c r="A89" s="477">
        <v>1</v>
      </c>
      <c r="B89" s="116">
        <v>4509</v>
      </c>
      <c r="C89" s="313" t="s">
        <v>162</v>
      </c>
      <c r="D89" s="114" t="s">
        <v>27</v>
      </c>
      <c r="E89" s="268">
        <v>2.7</v>
      </c>
      <c r="F89" s="115" t="s">
        <v>278</v>
      </c>
      <c r="G89" s="445">
        <v>2.71</v>
      </c>
      <c r="H89" s="448">
        <f t="shared" si="0"/>
        <v>8.1299999999999997E-2</v>
      </c>
      <c r="I89" s="450"/>
    </row>
    <row r="90" spans="1:9" s="448" customFormat="1" ht="15.95" customHeight="1" x14ac:dyDescent="0.2">
      <c r="A90" s="477">
        <v>1</v>
      </c>
      <c r="B90" s="116">
        <v>6188</v>
      </c>
      <c r="C90" s="313" t="s">
        <v>547</v>
      </c>
      <c r="D90" s="114" t="s">
        <v>85</v>
      </c>
      <c r="E90" s="268">
        <v>15.24</v>
      </c>
      <c r="F90" s="115" t="s">
        <v>278</v>
      </c>
      <c r="G90" s="445">
        <v>16.05</v>
      </c>
      <c r="H90" s="448">
        <f t="shared" si="0"/>
        <v>0.48149999999999998</v>
      </c>
      <c r="I90" s="450"/>
    </row>
    <row r="91" spans="1:9" s="448" customFormat="1" ht="29.25" customHeight="1" x14ac:dyDescent="0.2">
      <c r="A91" s="477">
        <v>1</v>
      </c>
      <c r="B91" s="116">
        <v>4813</v>
      </c>
      <c r="C91" s="319" t="s">
        <v>312</v>
      </c>
      <c r="D91" s="114" t="s">
        <v>85</v>
      </c>
      <c r="E91" s="268">
        <v>235</v>
      </c>
      <c r="F91" s="115" t="s">
        <v>278</v>
      </c>
      <c r="G91" s="439">
        <v>165</v>
      </c>
      <c r="H91" s="448">
        <f t="shared" si="0"/>
        <v>4.95</v>
      </c>
      <c r="I91" s="450"/>
    </row>
    <row r="92" spans="1:9" s="448" customFormat="1" ht="15.95" customHeight="1" x14ac:dyDescent="0.2">
      <c r="A92" s="477"/>
      <c r="B92" s="116">
        <v>26047</v>
      </c>
      <c r="C92" s="313" t="s">
        <v>418</v>
      </c>
      <c r="D92" s="116" t="s">
        <v>398</v>
      </c>
      <c r="E92" s="268">
        <v>60.66</v>
      </c>
      <c r="F92" s="115" t="s">
        <v>278</v>
      </c>
      <c r="G92" s="439">
        <v>58.22</v>
      </c>
      <c r="H92" s="448">
        <f>E92*0.04</f>
        <v>2.4264000000000001</v>
      </c>
      <c r="I92" s="450"/>
    </row>
    <row r="93" spans="1:9" s="509" customFormat="1" ht="15.95" customHeight="1" x14ac:dyDescent="0.2">
      <c r="A93" s="507">
        <v>1</v>
      </c>
      <c r="B93" s="527"/>
      <c r="C93" s="528" t="s">
        <v>427</v>
      </c>
      <c r="D93" s="527" t="s">
        <v>398</v>
      </c>
      <c r="E93" s="521">
        <v>46</v>
      </c>
      <c r="F93" s="533" t="s">
        <v>320</v>
      </c>
      <c r="G93" s="508">
        <v>98.99</v>
      </c>
      <c r="H93" s="517"/>
      <c r="I93" s="510"/>
    </row>
    <row r="94" spans="1:9" s="448" customFormat="1" ht="15.95" customHeight="1" x14ac:dyDescent="0.2">
      <c r="A94" s="477">
        <v>1</v>
      </c>
      <c r="B94" s="116">
        <v>300</v>
      </c>
      <c r="C94" s="319" t="s">
        <v>428</v>
      </c>
      <c r="D94" s="116" t="s">
        <v>398</v>
      </c>
      <c r="E94" s="268">
        <v>8.86</v>
      </c>
      <c r="F94" s="115" t="s">
        <v>278</v>
      </c>
      <c r="G94" s="445">
        <v>9.0399999999999991</v>
      </c>
      <c r="H94" s="452" t="s">
        <v>313</v>
      </c>
      <c r="I94" s="450"/>
    </row>
    <row r="95" spans="1:9" s="448" customFormat="1" ht="15.95" customHeight="1" x14ac:dyDescent="0.2">
      <c r="A95" s="477"/>
      <c r="B95" s="118">
        <v>318</v>
      </c>
      <c r="C95" s="319" t="s">
        <v>420</v>
      </c>
      <c r="D95" s="116" t="s">
        <v>398</v>
      </c>
      <c r="E95" s="268">
        <v>6.18</v>
      </c>
      <c r="F95" s="115" t="s">
        <v>278</v>
      </c>
      <c r="G95" s="445">
        <v>6.31</v>
      </c>
      <c r="H95" s="452">
        <f>G95*0.04</f>
        <v>0.25240000000000001</v>
      </c>
      <c r="I95" s="450"/>
    </row>
    <row r="96" spans="1:9" s="448" customFormat="1" ht="15.95" customHeight="1" x14ac:dyDescent="0.2">
      <c r="A96" s="477">
        <v>1</v>
      </c>
      <c r="B96" s="116">
        <v>9850</v>
      </c>
      <c r="C96" s="313" t="s">
        <v>416</v>
      </c>
      <c r="D96" s="114" t="s">
        <v>27</v>
      </c>
      <c r="E96" s="268">
        <f>294.09/2</f>
        <v>147.05000000000001</v>
      </c>
      <c r="F96" s="115" t="s">
        <v>278</v>
      </c>
      <c r="G96" s="439">
        <v>181.28</v>
      </c>
      <c r="H96" s="448">
        <v>9854</v>
      </c>
      <c r="I96" s="450"/>
    </row>
    <row r="97" spans="1:9" s="509" customFormat="1" ht="15.95" customHeight="1" x14ac:dyDescent="0.2">
      <c r="A97" s="507"/>
      <c r="B97" s="527"/>
      <c r="C97" s="528" t="s">
        <v>415</v>
      </c>
      <c r="D97" s="520" t="s">
        <v>27</v>
      </c>
      <c r="E97" s="521">
        <v>77.25</v>
      </c>
      <c r="F97" s="115" t="s">
        <v>320</v>
      </c>
      <c r="G97" s="508" t="s">
        <v>639</v>
      </c>
      <c r="H97" s="518">
        <v>41060</v>
      </c>
      <c r="I97" s="510"/>
    </row>
    <row r="98" spans="1:9" s="448" customFormat="1" ht="28.5" customHeight="1" x14ac:dyDescent="0.2">
      <c r="A98" s="477">
        <v>1</v>
      </c>
      <c r="B98" s="116" t="s">
        <v>314</v>
      </c>
      <c r="C98" s="319" t="s">
        <v>537</v>
      </c>
      <c r="D98" s="114" t="s">
        <v>67</v>
      </c>
      <c r="E98" s="268">
        <v>43.27</v>
      </c>
      <c r="F98" s="115" t="s">
        <v>278</v>
      </c>
      <c r="G98" s="445">
        <v>40.020000000000003</v>
      </c>
      <c r="I98" s="450"/>
    </row>
    <row r="99" spans="1:9" s="448" customFormat="1" ht="15.95" customHeight="1" x14ac:dyDescent="0.2">
      <c r="A99" s="477">
        <v>1</v>
      </c>
      <c r="B99" s="116" t="s">
        <v>315</v>
      </c>
      <c r="C99" s="319" t="s">
        <v>316</v>
      </c>
      <c r="D99" s="114" t="s">
        <v>67</v>
      </c>
      <c r="E99" s="268">
        <v>22.68</v>
      </c>
      <c r="F99" s="115" t="s">
        <v>278</v>
      </c>
      <c r="G99" s="445">
        <v>22.46</v>
      </c>
      <c r="I99" s="450"/>
    </row>
    <row r="100" spans="1:9" s="448" customFormat="1" ht="15.95" customHeight="1" x14ac:dyDescent="0.2">
      <c r="A100" s="477">
        <v>1</v>
      </c>
      <c r="B100" s="116">
        <v>4778</v>
      </c>
      <c r="C100" s="322" t="s">
        <v>317</v>
      </c>
      <c r="D100" s="118" t="s">
        <v>67</v>
      </c>
      <c r="E100" s="269">
        <v>3.17</v>
      </c>
      <c r="F100" s="118" t="s">
        <v>278</v>
      </c>
      <c r="G100" s="461">
        <v>3.15</v>
      </c>
      <c r="H100" s="464">
        <f>380/4</f>
        <v>95</v>
      </c>
      <c r="I100" s="450">
        <f>340/4</f>
        <v>85</v>
      </c>
    </row>
    <row r="101" spans="1:9" s="448" customFormat="1" ht="15.95" customHeight="1" x14ac:dyDescent="0.2">
      <c r="A101" s="448">
        <v>1</v>
      </c>
      <c r="B101" s="116">
        <v>4778</v>
      </c>
      <c r="C101" s="322" t="s">
        <v>318</v>
      </c>
      <c r="D101" s="118" t="s">
        <v>67</v>
      </c>
      <c r="E101" s="269">
        <f>E100</f>
        <v>3.17</v>
      </c>
      <c r="F101" s="118" t="s">
        <v>278</v>
      </c>
      <c r="G101" s="461">
        <v>3.15</v>
      </c>
      <c r="I101" s="450"/>
    </row>
    <row r="102" spans="1:9" s="448" customFormat="1" ht="15.95" customHeight="1" x14ac:dyDescent="0.2">
      <c r="A102" s="448">
        <v>1</v>
      </c>
      <c r="B102" s="116">
        <v>1512</v>
      </c>
      <c r="C102" s="326" t="s">
        <v>319</v>
      </c>
      <c r="D102" s="116" t="s">
        <v>67</v>
      </c>
      <c r="E102" s="269">
        <v>12.39</v>
      </c>
      <c r="F102" s="116" t="s">
        <v>278</v>
      </c>
      <c r="G102" s="461">
        <v>15.98</v>
      </c>
      <c r="I102" s="450"/>
    </row>
    <row r="103" spans="1:9" s="448" customFormat="1" ht="30.75" customHeight="1" x14ac:dyDescent="0.2">
      <c r="A103" s="448">
        <v>1</v>
      </c>
      <c r="B103" s="116">
        <v>1445</v>
      </c>
      <c r="C103" s="313" t="s">
        <v>308</v>
      </c>
      <c r="D103" s="118" t="s">
        <v>67</v>
      </c>
      <c r="E103" s="269">
        <v>3.24</v>
      </c>
      <c r="F103" s="118" t="s">
        <v>278</v>
      </c>
      <c r="G103" s="461">
        <v>3.22</v>
      </c>
      <c r="H103" s="448">
        <f>G103*0.04</f>
        <v>0.1288</v>
      </c>
      <c r="I103" s="450"/>
    </row>
    <row r="104" spans="1:9" s="448" customFormat="1" ht="29.25" customHeight="1" x14ac:dyDescent="0.2">
      <c r="A104" s="479">
        <v>1</v>
      </c>
      <c r="B104" s="118">
        <v>12724</v>
      </c>
      <c r="C104" s="313" t="s">
        <v>579</v>
      </c>
      <c r="D104" s="118" t="s">
        <v>398</v>
      </c>
      <c r="E104" s="526">
        <v>2597.98</v>
      </c>
      <c r="F104" s="118" t="s">
        <v>453</v>
      </c>
      <c r="G104" s="461"/>
      <c r="I104" s="450"/>
    </row>
    <row r="105" spans="1:9" s="448" customFormat="1" ht="15.95" customHeight="1" x14ac:dyDescent="0.2">
      <c r="A105" s="479"/>
      <c r="B105" s="116">
        <v>2681</v>
      </c>
      <c r="C105" s="326" t="s">
        <v>508</v>
      </c>
      <c r="D105" s="116" t="s">
        <v>27</v>
      </c>
      <c r="E105" s="269">
        <v>6.64</v>
      </c>
      <c r="F105" s="116" t="s">
        <v>278</v>
      </c>
      <c r="G105" s="445">
        <v>6.49</v>
      </c>
      <c r="I105" s="450"/>
    </row>
    <row r="106" spans="1:9" s="448" customFormat="1" ht="15.95" customHeight="1" x14ac:dyDescent="0.2">
      <c r="A106" s="479"/>
      <c r="B106" s="116">
        <v>2674</v>
      </c>
      <c r="C106" s="326" t="s">
        <v>509</v>
      </c>
      <c r="D106" s="116" t="s">
        <v>27</v>
      </c>
      <c r="E106" s="269">
        <v>1.84</v>
      </c>
      <c r="F106" s="116" t="s">
        <v>278</v>
      </c>
      <c r="G106" s="445">
        <v>1.8</v>
      </c>
      <c r="H106" s="448">
        <f>G106*0.04</f>
        <v>7.1999999999999995E-2</v>
      </c>
      <c r="I106" s="450"/>
    </row>
    <row r="107" spans="1:9" s="448" customFormat="1" ht="15.95" customHeight="1" x14ac:dyDescent="0.2">
      <c r="A107" s="479">
        <v>1</v>
      </c>
      <c r="B107" s="118">
        <v>12895</v>
      </c>
      <c r="C107" s="321" t="s">
        <v>321</v>
      </c>
      <c r="D107" s="116" t="s">
        <v>398</v>
      </c>
      <c r="E107" s="269">
        <v>8.83</v>
      </c>
      <c r="F107" s="116" t="s">
        <v>278</v>
      </c>
      <c r="G107" s="461"/>
      <c r="I107" s="450"/>
    </row>
    <row r="108" spans="1:9" s="448" customFormat="1" ht="15.95" customHeight="1" x14ac:dyDescent="0.2">
      <c r="A108" s="479">
        <v>1</v>
      </c>
      <c r="B108" s="118">
        <v>12893</v>
      </c>
      <c r="C108" s="321" t="s">
        <v>322</v>
      </c>
      <c r="D108" s="116" t="s">
        <v>635</v>
      </c>
      <c r="E108" s="269">
        <v>25.05</v>
      </c>
      <c r="F108" s="116" t="s">
        <v>278</v>
      </c>
      <c r="G108" s="461"/>
      <c r="I108" s="450"/>
    </row>
    <row r="109" spans="1:9" s="448" customFormat="1" ht="15.95" customHeight="1" x14ac:dyDescent="0.2">
      <c r="A109" s="479">
        <v>1</v>
      </c>
      <c r="B109" s="118">
        <v>12892</v>
      </c>
      <c r="C109" s="321" t="s">
        <v>323</v>
      </c>
      <c r="D109" s="116" t="s">
        <v>635</v>
      </c>
      <c r="E109" s="269">
        <v>6.7</v>
      </c>
      <c r="F109" s="116" t="s">
        <v>278</v>
      </c>
      <c r="G109" s="461"/>
      <c r="I109" s="450"/>
    </row>
    <row r="110" spans="1:9" s="448" customFormat="1" ht="15.95" customHeight="1" x14ac:dyDescent="0.2">
      <c r="A110" s="479">
        <v>1</v>
      </c>
      <c r="B110" s="118">
        <v>17482</v>
      </c>
      <c r="C110" s="321" t="s">
        <v>324</v>
      </c>
      <c r="D110" s="116" t="s">
        <v>398</v>
      </c>
      <c r="E110" s="269">
        <v>1.1399999999999999</v>
      </c>
      <c r="F110" s="118" t="s">
        <v>453</v>
      </c>
      <c r="G110" s="461"/>
      <c r="I110" s="450"/>
    </row>
    <row r="111" spans="1:9" s="448" customFormat="1" ht="15.95" customHeight="1" x14ac:dyDescent="0.2">
      <c r="A111" s="479">
        <v>1</v>
      </c>
      <c r="B111" s="116">
        <v>426</v>
      </c>
      <c r="C111" s="327" t="s">
        <v>325</v>
      </c>
      <c r="D111" s="116" t="s">
        <v>398</v>
      </c>
      <c r="E111" s="269">
        <v>2.58</v>
      </c>
      <c r="F111" s="116" t="s">
        <v>278</v>
      </c>
      <c r="G111" s="461">
        <v>1.8</v>
      </c>
      <c r="I111" s="450"/>
    </row>
    <row r="112" spans="1:9" s="448" customFormat="1" ht="15.95" customHeight="1" x14ac:dyDescent="0.2">
      <c r="A112" s="479">
        <v>1</v>
      </c>
      <c r="B112" s="116">
        <v>3380</v>
      </c>
      <c r="C112" s="328" t="s">
        <v>469</v>
      </c>
      <c r="D112" s="116" t="s">
        <v>398</v>
      </c>
      <c r="E112" s="269">
        <v>44.38</v>
      </c>
      <c r="F112" s="116" t="s">
        <v>278</v>
      </c>
      <c r="G112" s="461">
        <v>30.96</v>
      </c>
      <c r="H112" s="448">
        <f>G112*0.02</f>
        <v>0.61919999999999997</v>
      </c>
      <c r="I112" s="450"/>
    </row>
    <row r="113" spans="1:9" s="448" customFormat="1" ht="15.95" customHeight="1" x14ac:dyDescent="0.2">
      <c r="A113" s="479">
        <v>1</v>
      </c>
      <c r="B113" s="116">
        <v>1021</v>
      </c>
      <c r="C113" s="326" t="s">
        <v>326</v>
      </c>
      <c r="D113" s="116" t="s">
        <v>27</v>
      </c>
      <c r="E113" s="269">
        <v>3.21</v>
      </c>
      <c r="F113" s="116" t="s">
        <v>278</v>
      </c>
      <c r="G113" s="461">
        <v>3.01</v>
      </c>
      <c r="H113" s="448">
        <f>G113*0.02</f>
        <v>6.0199999999999997E-2</v>
      </c>
      <c r="I113" s="450"/>
    </row>
    <row r="114" spans="1:9" s="509" customFormat="1" ht="51.95" customHeight="1" x14ac:dyDescent="0.2">
      <c r="A114" s="525"/>
      <c r="B114" s="527">
        <v>11797</v>
      </c>
      <c r="C114" s="535" t="s">
        <v>523</v>
      </c>
      <c r="D114" s="527" t="s">
        <v>398</v>
      </c>
      <c r="E114" s="529">
        <v>65.2</v>
      </c>
      <c r="F114" s="527" t="s">
        <v>453</v>
      </c>
      <c r="G114" s="523">
        <v>150</v>
      </c>
      <c r="H114" s="509">
        <f t="shared" ref="H114:H120" si="1">G114*0.02</f>
        <v>3</v>
      </c>
      <c r="I114" s="510"/>
    </row>
    <row r="115" spans="1:9" s="509" customFormat="1" ht="51.95" customHeight="1" x14ac:dyDescent="0.2">
      <c r="A115" s="525"/>
      <c r="B115" s="527">
        <v>11799</v>
      </c>
      <c r="C115" s="535" t="s">
        <v>524</v>
      </c>
      <c r="D115" s="527" t="s">
        <v>398</v>
      </c>
      <c r="E115" s="529">
        <v>100.22</v>
      </c>
      <c r="F115" s="527" t="s">
        <v>453</v>
      </c>
      <c r="G115" s="523">
        <v>210</v>
      </c>
      <c r="I115" s="510"/>
    </row>
    <row r="116" spans="1:9" s="448" customFormat="1" ht="30" customHeight="1" x14ac:dyDescent="0.2">
      <c r="A116" s="479"/>
      <c r="B116" s="426">
        <v>851</v>
      </c>
      <c r="C116" s="468" t="s">
        <v>471</v>
      </c>
      <c r="D116" s="370" t="s">
        <v>472</v>
      </c>
      <c r="E116" s="427">
        <v>0.78</v>
      </c>
      <c r="F116" s="426" t="s">
        <v>278</v>
      </c>
      <c r="G116" s="461">
        <v>0.68</v>
      </c>
      <c r="H116" s="448">
        <f t="shared" si="1"/>
        <v>1.3599999999999999E-2</v>
      </c>
      <c r="I116" s="450"/>
    </row>
    <row r="117" spans="1:9" s="448" customFormat="1" ht="30" customHeight="1" x14ac:dyDescent="0.2">
      <c r="A117" s="479"/>
      <c r="B117" s="116">
        <v>855</v>
      </c>
      <c r="C117" s="468" t="s">
        <v>473</v>
      </c>
      <c r="D117" s="370" t="s">
        <v>472</v>
      </c>
      <c r="E117" s="269">
        <v>1.1599999999999999</v>
      </c>
      <c r="F117" s="116" t="s">
        <v>278</v>
      </c>
      <c r="G117" s="461">
        <v>1</v>
      </c>
      <c r="H117" s="448">
        <f t="shared" si="1"/>
        <v>0.02</v>
      </c>
      <c r="I117" s="450"/>
    </row>
    <row r="118" spans="1:9" s="448" customFormat="1" ht="15.95" customHeight="1" x14ac:dyDescent="0.2">
      <c r="A118" s="479"/>
      <c r="B118" s="116">
        <v>2389</v>
      </c>
      <c r="C118" s="468" t="s">
        <v>474</v>
      </c>
      <c r="D118" s="116" t="s">
        <v>398</v>
      </c>
      <c r="E118" s="269">
        <v>6.79</v>
      </c>
      <c r="F118" s="116" t="s">
        <v>278</v>
      </c>
      <c r="G118" s="461">
        <v>6.76</v>
      </c>
      <c r="H118" s="448">
        <f t="shared" si="1"/>
        <v>0.13519999999999999</v>
      </c>
      <c r="I118" s="450"/>
    </row>
    <row r="119" spans="1:9" s="448" customFormat="1" ht="15.95" customHeight="1" x14ac:dyDescent="0.2">
      <c r="A119" s="479"/>
      <c r="B119" s="116">
        <v>2392</v>
      </c>
      <c r="C119" s="468" t="s">
        <v>475</v>
      </c>
      <c r="D119" s="116" t="s">
        <v>398</v>
      </c>
      <c r="E119" s="269">
        <v>46.37</v>
      </c>
      <c r="F119" s="116" t="s">
        <v>278</v>
      </c>
      <c r="G119" s="461">
        <v>46.17</v>
      </c>
      <c r="H119" s="448">
        <f t="shared" si="1"/>
        <v>0.9234</v>
      </c>
      <c r="I119" s="450"/>
    </row>
    <row r="120" spans="1:9" s="448" customFormat="1" ht="15.95" customHeight="1" x14ac:dyDescent="0.2">
      <c r="A120" s="479"/>
      <c r="B120" s="116">
        <v>20012</v>
      </c>
      <c r="C120" s="468" t="s">
        <v>476</v>
      </c>
      <c r="D120" s="116" t="s">
        <v>398</v>
      </c>
      <c r="E120" s="269">
        <v>11.51</v>
      </c>
      <c r="F120" s="116" t="s">
        <v>278</v>
      </c>
      <c r="G120" s="461">
        <v>11.51</v>
      </c>
      <c r="H120" s="448">
        <f t="shared" si="1"/>
        <v>0.23019999999999999</v>
      </c>
      <c r="I120" s="450"/>
    </row>
    <row r="121" spans="1:9" s="509" customFormat="1" ht="15.95" customHeight="1" x14ac:dyDescent="0.2">
      <c r="A121" s="525">
        <v>1</v>
      </c>
      <c r="B121" s="527">
        <v>17838</v>
      </c>
      <c r="C121" s="528" t="s">
        <v>113</v>
      </c>
      <c r="D121" s="527" t="s">
        <v>398</v>
      </c>
      <c r="E121" s="529">
        <v>300.95999999999998</v>
      </c>
      <c r="F121" s="527" t="s">
        <v>453</v>
      </c>
      <c r="G121" s="523"/>
      <c r="H121" s="518">
        <v>41060</v>
      </c>
      <c r="I121" s="510"/>
    </row>
    <row r="122" spans="1:9" s="509" customFormat="1" ht="15.95" customHeight="1" x14ac:dyDescent="0.2">
      <c r="A122" s="525"/>
      <c r="B122" s="118"/>
      <c r="C122" s="313" t="s">
        <v>328</v>
      </c>
      <c r="D122" s="118" t="s">
        <v>398</v>
      </c>
      <c r="E122" s="269">
        <v>100</v>
      </c>
      <c r="F122" s="118" t="s">
        <v>329</v>
      </c>
      <c r="G122" s="523" t="s">
        <v>638</v>
      </c>
      <c r="I122" s="510"/>
    </row>
    <row r="123" spans="1:9" s="448" customFormat="1" ht="15.95" customHeight="1" x14ac:dyDescent="0.2">
      <c r="A123" s="479"/>
      <c r="B123" s="116">
        <v>1879</v>
      </c>
      <c r="C123" s="313" t="s">
        <v>330</v>
      </c>
      <c r="D123" s="116" t="s">
        <v>398</v>
      </c>
      <c r="E123" s="269">
        <v>2.5299999999999998</v>
      </c>
      <c r="F123" s="116" t="s">
        <v>278</v>
      </c>
      <c r="G123" s="461">
        <v>2.86</v>
      </c>
      <c r="H123" s="465">
        <f>G123*0.03</f>
        <v>8.5800000000000001E-2</v>
      </c>
      <c r="I123" s="450"/>
    </row>
    <row r="124" spans="1:9" s="448" customFormat="1" ht="15.95" customHeight="1" x14ac:dyDescent="0.2">
      <c r="A124" s="479"/>
      <c r="B124" s="116">
        <v>12033</v>
      </c>
      <c r="C124" s="313" t="s">
        <v>330</v>
      </c>
      <c r="D124" s="116" t="s">
        <v>398</v>
      </c>
      <c r="E124" s="269">
        <v>10.32</v>
      </c>
      <c r="F124" s="116" t="s">
        <v>278</v>
      </c>
      <c r="G124" s="461">
        <v>11.66</v>
      </c>
      <c r="H124" s="465">
        <f t="shared" ref="H124:H132" si="2">G124*0.03</f>
        <v>0.3498</v>
      </c>
      <c r="I124" s="450"/>
    </row>
    <row r="125" spans="1:9" s="509" customFormat="1" ht="15.95" customHeight="1" x14ac:dyDescent="0.2">
      <c r="B125" s="527" t="s">
        <v>331</v>
      </c>
      <c r="C125" s="528" t="s">
        <v>505</v>
      </c>
      <c r="D125" s="527" t="s">
        <v>398</v>
      </c>
      <c r="E125" s="529">
        <v>599.1</v>
      </c>
      <c r="F125" s="527" t="s">
        <v>320</v>
      </c>
      <c r="G125" s="523"/>
      <c r="H125" s="524">
        <f t="shared" si="2"/>
        <v>0</v>
      </c>
      <c r="I125" s="510"/>
    </row>
    <row r="126" spans="1:9" s="448" customFormat="1" ht="15.95" customHeight="1" x14ac:dyDescent="0.2">
      <c r="B126" s="116">
        <v>3879</v>
      </c>
      <c r="C126" s="313" t="s">
        <v>454</v>
      </c>
      <c r="D126" s="116" t="s">
        <v>398</v>
      </c>
      <c r="E126" s="269">
        <v>7.47</v>
      </c>
      <c r="F126" s="116" t="s">
        <v>278</v>
      </c>
      <c r="G126" s="461">
        <v>6.38</v>
      </c>
      <c r="H126" s="465">
        <f t="shared" si="2"/>
        <v>0.19139999999999999</v>
      </c>
      <c r="I126" s="450"/>
    </row>
    <row r="127" spans="1:9" s="448" customFormat="1" ht="15.95" customHeight="1" x14ac:dyDescent="0.2">
      <c r="B127" s="116">
        <v>11678</v>
      </c>
      <c r="C127" s="313" t="s">
        <v>132</v>
      </c>
      <c r="D127" s="116" t="s">
        <v>398</v>
      </c>
      <c r="E127" s="269">
        <v>57.77</v>
      </c>
      <c r="F127" s="118" t="s">
        <v>278</v>
      </c>
      <c r="G127" s="461">
        <v>54.62</v>
      </c>
      <c r="H127" s="465">
        <f t="shared" si="2"/>
        <v>1.6386000000000001</v>
      </c>
      <c r="I127" s="450"/>
    </row>
    <row r="128" spans="1:9" s="448" customFormat="1" ht="15.95" customHeight="1" x14ac:dyDescent="0.2">
      <c r="B128" s="116">
        <v>1798</v>
      </c>
      <c r="C128" s="313" t="s">
        <v>332</v>
      </c>
      <c r="D128" s="116" t="s">
        <v>398</v>
      </c>
      <c r="E128" s="269">
        <v>60.44</v>
      </c>
      <c r="F128" s="116" t="s">
        <v>278</v>
      </c>
      <c r="G128" s="461">
        <v>63.61</v>
      </c>
      <c r="H128" s="465">
        <f t="shared" si="2"/>
        <v>1.9083000000000001</v>
      </c>
      <c r="I128" s="450"/>
    </row>
    <row r="129" spans="1:10" s="448" customFormat="1" ht="15.95" customHeight="1" x14ac:dyDescent="0.2">
      <c r="B129" s="116">
        <v>113</v>
      </c>
      <c r="C129" s="313" t="s">
        <v>515</v>
      </c>
      <c r="D129" s="116" t="s">
        <v>398</v>
      </c>
      <c r="E129" s="269">
        <v>8.6999999999999993</v>
      </c>
      <c r="F129" s="116" t="s">
        <v>278</v>
      </c>
      <c r="G129" s="461">
        <v>8.85</v>
      </c>
      <c r="H129" s="465">
        <f t="shared" si="2"/>
        <v>0.26550000000000001</v>
      </c>
      <c r="I129" s="450"/>
    </row>
    <row r="130" spans="1:10" s="448" customFormat="1" ht="15.95" customHeight="1" x14ac:dyDescent="0.2">
      <c r="B130" s="116">
        <v>3912</v>
      </c>
      <c r="C130" s="326" t="s">
        <v>135</v>
      </c>
      <c r="D130" s="116" t="s">
        <v>398</v>
      </c>
      <c r="E130" s="269">
        <v>16.649999999999999</v>
      </c>
      <c r="F130" s="116" t="s">
        <v>278</v>
      </c>
      <c r="G130" s="461">
        <v>17.53</v>
      </c>
      <c r="H130" s="465">
        <f t="shared" si="2"/>
        <v>0.52590000000000003</v>
      </c>
      <c r="I130" s="450"/>
    </row>
    <row r="131" spans="1:10" s="448" customFormat="1" ht="15.95" customHeight="1" x14ac:dyDescent="0.2">
      <c r="B131" s="116">
        <v>3508</v>
      </c>
      <c r="C131" s="323" t="s">
        <v>452</v>
      </c>
      <c r="D131" s="116" t="s">
        <v>398</v>
      </c>
      <c r="E131" s="269">
        <v>16.899999999999999</v>
      </c>
      <c r="F131" s="116" t="s">
        <v>278</v>
      </c>
      <c r="G131" s="461">
        <v>14.43</v>
      </c>
      <c r="H131" s="465">
        <f t="shared" si="2"/>
        <v>0.43290000000000001</v>
      </c>
      <c r="I131" s="450"/>
    </row>
    <row r="132" spans="1:10" s="448" customFormat="1" x14ac:dyDescent="0.2">
      <c r="B132" s="116">
        <v>4222</v>
      </c>
      <c r="C132" s="326" t="s">
        <v>551</v>
      </c>
      <c r="D132" s="114" t="s">
        <v>167</v>
      </c>
      <c r="E132" s="269">
        <v>4.17</v>
      </c>
      <c r="F132" s="116" t="s">
        <v>278</v>
      </c>
      <c r="G132" s="461">
        <v>3.83</v>
      </c>
      <c r="H132" s="465">
        <f t="shared" si="2"/>
        <v>0.1149</v>
      </c>
      <c r="I132" s="450"/>
    </row>
    <row r="133" spans="1:10" s="448" customFormat="1" ht="28.5" customHeight="1" x14ac:dyDescent="0.2">
      <c r="B133" s="116">
        <v>550</v>
      </c>
      <c r="C133" s="349" t="s">
        <v>487</v>
      </c>
      <c r="D133" s="169" t="s">
        <v>88</v>
      </c>
      <c r="E133" s="269">
        <v>3.96</v>
      </c>
      <c r="F133" s="116" t="s">
        <v>278</v>
      </c>
      <c r="G133" s="461">
        <v>3.68</v>
      </c>
      <c r="H133" s="465">
        <f>G133*0.03</f>
        <v>0.1104</v>
      </c>
      <c r="I133" s="450"/>
    </row>
    <row r="134" spans="1:10" s="448" customFormat="1" ht="15.95" customHeight="1" x14ac:dyDescent="0.2">
      <c r="B134" s="116">
        <v>557</v>
      </c>
      <c r="C134" s="468" t="s">
        <v>488</v>
      </c>
      <c r="D134" s="370" t="s">
        <v>27</v>
      </c>
      <c r="E134" s="269">
        <v>15</v>
      </c>
      <c r="F134" s="116" t="s">
        <v>278</v>
      </c>
      <c r="G134" s="461">
        <v>13.93</v>
      </c>
      <c r="H134" s="465">
        <f>G134*0.03</f>
        <v>0.41789999999999999</v>
      </c>
      <c r="I134" s="450"/>
    </row>
    <row r="135" spans="1:10" s="448" customFormat="1" ht="27.75" customHeight="1" x14ac:dyDescent="0.2">
      <c r="B135" s="116">
        <v>5089</v>
      </c>
      <c r="C135" s="468" t="s">
        <v>489</v>
      </c>
      <c r="D135" s="116" t="s">
        <v>398</v>
      </c>
      <c r="E135" s="269">
        <v>21.33</v>
      </c>
      <c r="F135" s="116" t="s">
        <v>278</v>
      </c>
      <c r="G135" s="461">
        <v>18.940000000000001</v>
      </c>
      <c r="H135" s="465">
        <f>G135*0.03</f>
        <v>0.56820000000000004</v>
      </c>
      <c r="I135" s="450"/>
    </row>
    <row r="136" spans="1:10" s="448" customFormat="1" ht="27.75" customHeight="1" x14ac:dyDescent="0.2">
      <c r="B136" s="116">
        <v>10932</v>
      </c>
      <c r="C136" s="468" t="s">
        <v>490</v>
      </c>
      <c r="D136" s="370" t="s">
        <v>85</v>
      </c>
      <c r="E136" s="269">
        <v>49.42</v>
      </c>
      <c r="F136" s="116" t="s">
        <v>278</v>
      </c>
      <c r="G136" s="461">
        <v>49.09</v>
      </c>
      <c r="H136" s="465">
        <f>G136*0.03</f>
        <v>1.4726999999999999</v>
      </c>
      <c r="I136" s="450"/>
    </row>
    <row r="137" spans="1:10" s="448" customFormat="1" ht="15.95" customHeight="1" x14ac:dyDescent="0.2">
      <c r="A137" s="465"/>
      <c r="B137" s="118"/>
      <c r="C137" s="322" t="s">
        <v>497</v>
      </c>
      <c r="D137" s="118" t="s">
        <v>398</v>
      </c>
      <c r="E137" s="269">
        <v>62.8</v>
      </c>
      <c r="F137" s="118" t="s">
        <v>333</v>
      </c>
      <c r="G137" s="461" t="s">
        <v>638</v>
      </c>
      <c r="H137" s="465"/>
      <c r="I137" s="450"/>
    </row>
    <row r="138" spans="1:10" s="448" customFormat="1" ht="15.95" customHeight="1" x14ac:dyDescent="0.2">
      <c r="A138" s="465"/>
      <c r="B138" s="116">
        <v>4229</v>
      </c>
      <c r="C138" s="326" t="s">
        <v>334</v>
      </c>
      <c r="D138" s="116" t="s">
        <v>172</v>
      </c>
      <c r="E138" s="269">
        <v>17.059999999999999</v>
      </c>
      <c r="F138" s="116" t="s">
        <v>278</v>
      </c>
      <c r="G138" s="466">
        <v>14.37</v>
      </c>
      <c r="H138" s="119"/>
      <c r="I138" s="450"/>
    </row>
    <row r="139" spans="1:10" s="448" customFormat="1" ht="15.95" customHeight="1" x14ac:dyDescent="0.2">
      <c r="A139" s="465"/>
      <c r="B139" s="527">
        <v>17455</v>
      </c>
      <c r="C139" s="534" t="s">
        <v>335</v>
      </c>
      <c r="D139" s="527" t="s">
        <v>172</v>
      </c>
      <c r="E139" s="529">
        <v>16.73</v>
      </c>
      <c r="F139" s="527" t="s">
        <v>453</v>
      </c>
      <c r="G139" s="466">
        <v>16.43</v>
      </c>
      <c r="H139" s="465"/>
      <c r="I139" s="450"/>
    </row>
    <row r="140" spans="1:10" s="448" customFormat="1" ht="15.95" customHeight="1" x14ac:dyDescent="0.2">
      <c r="B140" s="116">
        <v>73595</v>
      </c>
      <c r="C140" s="322" t="s">
        <v>336</v>
      </c>
      <c r="D140" s="118" t="s">
        <v>27</v>
      </c>
      <c r="E140" s="269">
        <v>0.08</v>
      </c>
      <c r="F140" s="118" t="s">
        <v>278</v>
      </c>
      <c r="G140" s="466"/>
      <c r="H140" s="465"/>
      <c r="I140" s="449"/>
      <c r="J140" s="449" t="s">
        <v>342</v>
      </c>
    </row>
    <row r="141" spans="1:10" s="448" customFormat="1" ht="51.75" customHeight="1" x14ac:dyDescent="0.2">
      <c r="B141" s="116">
        <v>10417</v>
      </c>
      <c r="C141" s="325" t="s">
        <v>337</v>
      </c>
      <c r="D141" s="116" t="s">
        <v>398</v>
      </c>
      <c r="E141" s="269">
        <v>58.35</v>
      </c>
      <c r="F141" s="118" t="s">
        <v>278</v>
      </c>
      <c r="G141" s="461">
        <v>51.81</v>
      </c>
      <c r="H141" s="465">
        <f>G141*0.03</f>
        <v>1.5543</v>
      </c>
      <c r="I141" s="449"/>
      <c r="J141" s="449"/>
    </row>
    <row r="142" spans="1:10" s="509" customFormat="1" ht="52.5" customHeight="1" x14ac:dyDescent="0.2">
      <c r="B142" s="118"/>
      <c r="C142" s="325" t="s">
        <v>425</v>
      </c>
      <c r="D142" s="118" t="s">
        <v>398</v>
      </c>
      <c r="E142" s="269">
        <v>412</v>
      </c>
      <c r="F142" s="118" t="s">
        <v>320</v>
      </c>
      <c r="G142" s="523"/>
      <c r="H142" s="524"/>
      <c r="I142" s="510"/>
    </row>
    <row r="143" spans="1:10" s="509" customFormat="1" ht="55.5" customHeight="1" x14ac:dyDescent="0.2">
      <c r="B143" s="118"/>
      <c r="C143" s="325" t="s">
        <v>511</v>
      </c>
      <c r="D143" s="118" t="s">
        <v>398</v>
      </c>
      <c r="E143" s="269">
        <v>740</v>
      </c>
      <c r="F143" s="118" t="s">
        <v>320</v>
      </c>
      <c r="G143" s="523"/>
      <c r="H143" s="524"/>
      <c r="I143" s="510"/>
    </row>
    <row r="144" spans="1:10" s="448" customFormat="1" ht="15.95" customHeight="1" x14ac:dyDescent="0.2">
      <c r="B144" s="116">
        <v>5049</v>
      </c>
      <c r="C144" s="329" t="s">
        <v>181</v>
      </c>
      <c r="D144" s="116" t="s">
        <v>398</v>
      </c>
      <c r="E144" s="269">
        <v>300.43</v>
      </c>
      <c r="F144" s="116" t="s">
        <v>278</v>
      </c>
      <c r="G144" s="445">
        <v>291.02999999999997</v>
      </c>
      <c r="H144" s="387">
        <f>G144*0.04</f>
        <v>11.64</v>
      </c>
      <c r="I144" s="450"/>
    </row>
    <row r="145" spans="2:17" s="448" customFormat="1" x14ac:dyDescent="0.2">
      <c r="B145" s="116">
        <v>3398</v>
      </c>
      <c r="C145" s="329" t="s">
        <v>182</v>
      </c>
      <c r="D145" s="116" t="s">
        <v>398</v>
      </c>
      <c r="E145" s="269">
        <v>9.41</v>
      </c>
      <c r="F145" s="116" t="s">
        <v>278</v>
      </c>
      <c r="G145" s="445">
        <v>5.52</v>
      </c>
      <c r="H145" s="387">
        <f>G145*0.04</f>
        <v>0.22</v>
      </c>
      <c r="I145" s="450"/>
    </row>
    <row r="146" spans="2:17" s="448" customFormat="1" ht="27.75" customHeight="1" x14ac:dyDescent="0.2">
      <c r="B146" s="116">
        <v>1094</v>
      </c>
      <c r="C146" s="329" t="s">
        <v>510</v>
      </c>
      <c r="D146" s="116" t="s">
        <v>398</v>
      </c>
      <c r="E146" s="269">
        <v>7.99</v>
      </c>
      <c r="F146" s="116" t="s">
        <v>278</v>
      </c>
      <c r="G146" s="445">
        <v>9.06</v>
      </c>
      <c r="I146" s="450"/>
    </row>
    <row r="147" spans="2:17" s="448" customFormat="1" ht="15.95" customHeight="1" x14ac:dyDescent="0.2">
      <c r="B147" s="116">
        <v>4336</v>
      </c>
      <c r="C147" s="329" t="s">
        <v>183</v>
      </c>
      <c r="D147" s="116" t="s">
        <v>398</v>
      </c>
      <c r="E147" s="269">
        <v>1.52</v>
      </c>
      <c r="F147" s="116" t="s">
        <v>278</v>
      </c>
      <c r="G147" s="445">
        <v>1.68</v>
      </c>
      <c r="I147" s="450"/>
    </row>
    <row r="148" spans="2:17" s="101" customFormat="1" ht="15.95" customHeight="1" x14ac:dyDescent="0.2">
      <c r="B148" s="116">
        <v>25002</v>
      </c>
      <c r="C148" s="329" t="s">
        <v>180</v>
      </c>
      <c r="D148" s="116" t="s">
        <v>172</v>
      </c>
      <c r="E148" s="269">
        <v>14.95</v>
      </c>
      <c r="F148" s="116" t="s">
        <v>278</v>
      </c>
      <c r="G148" s="445">
        <v>14.38</v>
      </c>
      <c r="H148" s="387">
        <f t="shared" ref="H148:H154" si="3">G148*0.04</f>
        <v>0.57999999999999996</v>
      </c>
      <c r="I148" s="388"/>
      <c r="J148" s="389"/>
      <c r="K148" s="390"/>
      <c r="L148" s="390"/>
      <c r="M148" s="390"/>
      <c r="N148" s="390"/>
      <c r="O148" s="391"/>
      <c r="P148" s="391"/>
      <c r="Q148" s="391"/>
    </row>
    <row r="149" spans="2:17" s="101" customFormat="1" ht="15.95" customHeight="1" x14ac:dyDescent="0.2">
      <c r="B149" s="116">
        <v>868</v>
      </c>
      <c r="C149" s="329" t="s">
        <v>465</v>
      </c>
      <c r="D149" s="116" t="s">
        <v>27</v>
      </c>
      <c r="E149" s="269">
        <v>12.43</v>
      </c>
      <c r="F149" s="116" t="s">
        <v>278</v>
      </c>
      <c r="G149" s="438">
        <v>9.35</v>
      </c>
      <c r="H149" s="387">
        <f t="shared" si="3"/>
        <v>0.37</v>
      </c>
      <c r="I149" s="393"/>
      <c r="J149" s="389"/>
      <c r="K149" s="390"/>
      <c r="L149" s="390"/>
      <c r="M149" s="390"/>
      <c r="N149" s="390"/>
      <c r="O149" s="391"/>
      <c r="P149" s="391"/>
      <c r="Q149" s="391"/>
    </row>
    <row r="150" spans="2:17" s="448" customFormat="1" x14ac:dyDescent="0.2">
      <c r="B150" s="537">
        <v>17764</v>
      </c>
      <c r="C150" s="538" t="s">
        <v>461</v>
      </c>
      <c r="D150" s="539" t="s">
        <v>398</v>
      </c>
      <c r="E150" s="529">
        <v>23.92</v>
      </c>
      <c r="F150" s="540" t="s">
        <v>453</v>
      </c>
      <c r="G150" s="439">
        <v>20.16</v>
      </c>
      <c r="H150" s="392">
        <f t="shared" si="3"/>
        <v>0.81</v>
      </c>
      <c r="I150" s="450"/>
    </row>
    <row r="151" spans="2:17" s="448" customFormat="1" ht="25.5" x14ac:dyDescent="0.2">
      <c r="B151" s="116">
        <v>21011</v>
      </c>
      <c r="C151" s="330" t="s">
        <v>194</v>
      </c>
      <c r="D151" s="116" t="s">
        <v>27</v>
      </c>
      <c r="E151" s="269">
        <v>19.63</v>
      </c>
      <c r="F151" s="116" t="s">
        <v>278</v>
      </c>
      <c r="G151" s="445">
        <v>17.29</v>
      </c>
      <c r="H151" s="392">
        <f t="shared" si="3"/>
        <v>0.69</v>
      </c>
      <c r="I151" s="450"/>
    </row>
    <row r="152" spans="2:17" s="448" customFormat="1" ht="31.5" customHeight="1" x14ac:dyDescent="0.2">
      <c r="B152" s="116">
        <v>13629</v>
      </c>
      <c r="C152" s="331" t="s">
        <v>90</v>
      </c>
      <c r="D152" s="116" t="s">
        <v>85</v>
      </c>
      <c r="E152" s="269">
        <v>225.6</v>
      </c>
      <c r="F152" s="116" t="s">
        <v>278</v>
      </c>
      <c r="G152" s="445">
        <v>158.4</v>
      </c>
      <c r="H152" s="392">
        <f t="shared" si="3"/>
        <v>6.34</v>
      </c>
      <c r="I152" s="450"/>
    </row>
    <row r="153" spans="2:17" s="448" customFormat="1" ht="15.95" customHeight="1" x14ac:dyDescent="0.2">
      <c r="B153" s="116">
        <v>418</v>
      </c>
      <c r="C153" s="329" t="s">
        <v>184</v>
      </c>
      <c r="D153" s="116" t="s">
        <v>398</v>
      </c>
      <c r="E153" s="269">
        <v>3.2</v>
      </c>
      <c r="F153" s="116" t="s">
        <v>278</v>
      </c>
      <c r="G153" s="445">
        <v>3.63</v>
      </c>
      <c r="H153" s="392">
        <f t="shared" si="3"/>
        <v>0.15</v>
      </c>
      <c r="I153" s="450"/>
    </row>
    <row r="154" spans="2:17" s="448" customFormat="1" ht="15.95" customHeight="1" x14ac:dyDescent="0.2">
      <c r="B154" s="116">
        <v>417</v>
      </c>
      <c r="C154" s="329" t="s">
        <v>184</v>
      </c>
      <c r="D154" s="116" t="s">
        <v>398</v>
      </c>
      <c r="E154" s="269">
        <v>2.23</v>
      </c>
      <c r="F154" s="116" t="s">
        <v>278</v>
      </c>
      <c r="G154" s="445">
        <v>2.5299999999999998</v>
      </c>
      <c r="H154" s="392">
        <f t="shared" si="3"/>
        <v>0.1</v>
      </c>
      <c r="I154" s="450"/>
    </row>
    <row r="155" spans="2:17" x14ac:dyDescent="0.2">
      <c r="B155" s="118">
        <v>1444</v>
      </c>
      <c r="C155" s="313" t="s">
        <v>339</v>
      </c>
      <c r="D155" s="118" t="s">
        <v>67</v>
      </c>
      <c r="E155" s="269">
        <v>2.89</v>
      </c>
      <c r="F155" s="118" t="s">
        <v>278</v>
      </c>
      <c r="G155" s="445">
        <v>2.87</v>
      </c>
      <c r="H155" s="392">
        <f>G155*0.04</f>
        <v>0.11</v>
      </c>
    </row>
  </sheetData>
  <autoFilter ref="A10:G59"/>
  <mergeCells count="2">
    <mergeCell ref="B8:F8"/>
    <mergeCell ref="B2:F5"/>
  </mergeCells>
  <pageMargins left="0.51180555555555551" right="0.51180555555555551" top="0.78749999999999998" bottom="0.78749999999999998" header="0.51180555555555551" footer="0.51180555555555551"/>
  <pageSetup paperSize="9" scale="96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6"/>
  <sheetViews>
    <sheetView view="pageBreakPreview" zoomScale="110" zoomScaleNormal="110" zoomScaleSheetLayoutView="110" workbookViewId="0"/>
  </sheetViews>
  <sheetFormatPr defaultColWidth="12.7109375" defaultRowHeight="15" x14ac:dyDescent="0.25"/>
  <cols>
    <col min="1" max="1" width="1.7109375" style="244" customWidth="1"/>
    <col min="2" max="2" width="8.28515625" style="244" customWidth="1"/>
    <col min="3" max="3" width="59.7109375" style="244" customWidth="1"/>
    <col min="4" max="4" width="21.7109375" style="244" customWidth="1"/>
    <col min="5" max="5" width="2.85546875" style="244" customWidth="1"/>
    <col min="6" max="16384" width="12.7109375" style="244"/>
  </cols>
  <sheetData>
    <row r="1" spans="2:4" ht="7.5" customHeight="1" thickBot="1" x14ac:dyDescent="0.3"/>
    <row r="2" spans="2:4" s="245" customFormat="1" ht="22.5" customHeight="1" thickBot="1" x14ac:dyDescent="0.25">
      <c r="B2" s="743" t="s">
        <v>55</v>
      </c>
      <c r="C2" s="744"/>
      <c r="D2" s="745"/>
    </row>
    <row r="3" spans="2:4" ht="32.25" customHeight="1" thickBot="1" x14ac:dyDescent="0.3">
      <c r="B3" s="746" t="s">
        <v>536</v>
      </c>
      <c r="C3" s="747"/>
      <c r="D3" s="748"/>
    </row>
    <row r="4" spans="2:4" ht="15.75" thickBot="1" x14ac:dyDescent="0.3">
      <c r="B4" s="749" t="s">
        <v>366</v>
      </c>
      <c r="C4" s="750"/>
      <c r="D4" s="751"/>
    </row>
    <row r="5" spans="2:4" x14ac:dyDescent="0.25">
      <c r="B5" s="246"/>
      <c r="C5" s="247"/>
      <c r="D5" s="248"/>
    </row>
    <row r="6" spans="2:4" x14ac:dyDescent="0.25">
      <c r="B6" s="246" t="s">
        <v>199</v>
      </c>
      <c r="C6" s="249" t="s">
        <v>200</v>
      </c>
      <c r="D6" s="248"/>
    </row>
    <row r="7" spans="2:4" x14ac:dyDescent="0.25">
      <c r="B7" s="246" t="s">
        <v>201</v>
      </c>
      <c r="C7" s="250" t="s">
        <v>202</v>
      </c>
      <c r="D7" s="251">
        <v>37511</v>
      </c>
    </row>
    <row r="8" spans="2:4" x14ac:dyDescent="0.25">
      <c r="B8" s="246" t="s">
        <v>203</v>
      </c>
      <c r="C8" s="250" t="s">
        <v>204</v>
      </c>
      <c r="D8" s="248">
        <v>36</v>
      </c>
    </row>
    <row r="9" spans="2:4" x14ac:dyDescent="0.25">
      <c r="B9" s="246" t="s">
        <v>205</v>
      </c>
      <c r="C9" s="250" t="s">
        <v>206</v>
      </c>
      <c r="D9" s="252">
        <v>0.4</v>
      </c>
    </row>
    <row r="10" spans="2:4" x14ac:dyDescent="0.25">
      <c r="B10" s="246" t="s">
        <v>207</v>
      </c>
      <c r="C10" s="250" t="s">
        <v>208</v>
      </c>
      <c r="D10" s="248">
        <f>(D7-(D9*D7))/D8</f>
        <v>625.17999999999995</v>
      </c>
    </row>
    <row r="11" spans="2:4" x14ac:dyDescent="0.25">
      <c r="B11" s="246"/>
      <c r="C11" s="250"/>
      <c r="D11" s="248"/>
    </row>
    <row r="12" spans="2:4" x14ac:dyDescent="0.25">
      <c r="B12" s="246" t="s">
        <v>209</v>
      </c>
      <c r="C12" s="249" t="s">
        <v>210</v>
      </c>
      <c r="D12" s="248"/>
    </row>
    <row r="13" spans="2:4" x14ac:dyDescent="0.25">
      <c r="B13" s="246" t="s">
        <v>211</v>
      </c>
      <c r="C13" s="250" t="s">
        <v>212</v>
      </c>
      <c r="D13" s="252">
        <v>0.05</v>
      </c>
    </row>
    <row r="14" spans="2:4" x14ac:dyDescent="0.25">
      <c r="B14" s="246" t="s">
        <v>213</v>
      </c>
      <c r="C14" s="253" t="s">
        <v>214</v>
      </c>
      <c r="D14" s="248">
        <f>D13*D10</f>
        <v>31.26</v>
      </c>
    </row>
    <row r="15" spans="2:4" x14ac:dyDescent="0.25">
      <c r="B15" s="246"/>
      <c r="C15" s="249"/>
      <c r="D15" s="248"/>
    </row>
    <row r="16" spans="2:4" x14ac:dyDescent="0.25">
      <c r="B16" s="246" t="s">
        <v>215</v>
      </c>
      <c r="C16" s="249" t="s">
        <v>216</v>
      </c>
      <c r="D16" s="248"/>
    </row>
    <row r="17" spans="2:4" x14ac:dyDescent="0.25">
      <c r="B17" s="246" t="s">
        <v>217</v>
      </c>
      <c r="C17" s="250" t="s">
        <v>218</v>
      </c>
      <c r="D17" s="252">
        <v>1</v>
      </c>
    </row>
    <row r="18" spans="2:4" x14ac:dyDescent="0.25">
      <c r="B18" s="246" t="s">
        <v>219</v>
      </c>
      <c r="C18" s="250" t="s">
        <v>220</v>
      </c>
      <c r="D18" s="248">
        <f>D17*D10</f>
        <v>625.17999999999995</v>
      </c>
    </row>
    <row r="19" spans="2:4" x14ac:dyDescent="0.25">
      <c r="B19" s="246" t="s">
        <v>198</v>
      </c>
      <c r="C19" s="250" t="s">
        <v>198</v>
      </c>
      <c r="D19" s="251" t="s">
        <v>198</v>
      </c>
    </row>
    <row r="20" spans="2:4" x14ac:dyDescent="0.25">
      <c r="B20" s="246" t="s">
        <v>221</v>
      </c>
      <c r="C20" s="249" t="s">
        <v>222</v>
      </c>
      <c r="D20" s="248"/>
    </row>
    <row r="21" spans="2:4" x14ac:dyDescent="0.25">
      <c r="B21" s="246" t="s">
        <v>223</v>
      </c>
      <c r="C21" s="250" t="s">
        <v>224</v>
      </c>
      <c r="D21" s="248">
        <v>3000</v>
      </c>
    </row>
    <row r="22" spans="2:4" x14ac:dyDescent="0.25">
      <c r="B22" s="246" t="s">
        <v>225</v>
      </c>
      <c r="C22" s="250" t="s">
        <v>226</v>
      </c>
      <c r="D22" s="248">
        <v>2.94</v>
      </c>
    </row>
    <row r="23" spans="2:4" x14ac:dyDescent="0.25">
      <c r="B23" s="246" t="s">
        <v>227</v>
      </c>
      <c r="C23" s="250" t="s">
        <v>228</v>
      </c>
      <c r="D23" s="248">
        <v>10</v>
      </c>
    </row>
    <row r="24" spans="2:4" x14ac:dyDescent="0.25">
      <c r="B24" s="246" t="s">
        <v>229</v>
      </c>
      <c r="C24" s="250" t="s">
        <v>230</v>
      </c>
      <c r="D24" s="248">
        <f>(D21/D23)*D22</f>
        <v>882</v>
      </c>
    </row>
    <row r="25" spans="2:4" x14ac:dyDescent="0.25">
      <c r="B25" s="246"/>
      <c r="C25" s="250"/>
      <c r="D25" s="248"/>
    </row>
    <row r="26" spans="2:4" x14ac:dyDescent="0.25">
      <c r="B26" s="246" t="s">
        <v>231</v>
      </c>
      <c r="C26" s="249" t="s">
        <v>232</v>
      </c>
      <c r="D26" s="248"/>
    </row>
    <row r="27" spans="2:4" x14ac:dyDescent="0.25">
      <c r="B27" s="246" t="s">
        <v>233</v>
      </c>
      <c r="C27" s="250" t="s">
        <v>234</v>
      </c>
      <c r="D27" s="248">
        <f>D21*12</f>
        <v>36000</v>
      </c>
    </row>
    <row r="28" spans="2:4" x14ac:dyDescent="0.25">
      <c r="B28" s="246" t="s">
        <v>235</v>
      </c>
      <c r="C28" s="250" t="s">
        <v>236</v>
      </c>
      <c r="D28" s="248">
        <v>5000</v>
      </c>
    </row>
    <row r="29" spans="2:4" x14ac:dyDescent="0.25">
      <c r="B29" s="246" t="s">
        <v>237</v>
      </c>
      <c r="C29" s="250" t="s">
        <v>238</v>
      </c>
      <c r="D29" s="248">
        <v>24.93</v>
      </c>
    </row>
    <row r="30" spans="2:4" x14ac:dyDescent="0.25">
      <c r="B30" s="246" t="s">
        <v>239</v>
      </c>
      <c r="C30" s="250" t="s">
        <v>240</v>
      </c>
      <c r="D30" s="248">
        <v>3.5</v>
      </c>
    </row>
    <row r="31" spans="2:4" x14ac:dyDescent="0.25">
      <c r="B31" s="246" t="s">
        <v>241</v>
      </c>
      <c r="C31" s="250" t="s">
        <v>242</v>
      </c>
      <c r="D31" s="248">
        <v>365</v>
      </c>
    </row>
    <row r="32" spans="2:4" x14ac:dyDescent="0.25">
      <c r="B32" s="246" t="s">
        <v>243</v>
      </c>
      <c r="C32" s="250" t="s">
        <v>244</v>
      </c>
      <c r="D32" s="254">
        <f>(D27*D29*D30*30)/(D28*D31)</f>
        <v>51.64</v>
      </c>
    </row>
    <row r="33" spans="2:4" x14ac:dyDescent="0.25">
      <c r="B33" s="246"/>
      <c r="C33" s="250"/>
      <c r="D33" s="255"/>
    </row>
    <row r="34" spans="2:4" x14ac:dyDescent="0.25">
      <c r="B34" s="246" t="s">
        <v>245</v>
      </c>
      <c r="C34" s="249" t="s">
        <v>246</v>
      </c>
      <c r="D34" s="255"/>
    </row>
    <row r="35" spans="2:4" x14ac:dyDescent="0.25">
      <c r="B35" s="246" t="s">
        <v>247</v>
      </c>
      <c r="C35" s="250" t="s">
        <v>234</v>
      </c>
      <c r="D35" s="248">
        <f>D21*12</f>
        <v>36000</v>
      </c>
    </row>
    <row r="36" spans="2:4" x14ac:dyDescent="0.25">
      <c r="B36" s="246" t="s">
        <v>248</v>
      </c>
      <c r="C36" s="250" t="s">
        <v>249</v>
      </c>
      <c r="D36" s="248">
        <v>45000</v>
      </c>
    </row>
    <row r="37" spans="2:4" x14ac:dyDescent="0.25">
      <c r="B37" s="246" t="s">
        <v>250</v>
      </c>
      <c r="C37" s="250" t="s">
        <v>251</v>
      </c>
      <c r="D37" s="248">
        <v>5</v>
      </c>
    </row>
    <row r="38" spans="2:4" x14ac:dyDescent="0.25">
      <c r="B38" s="246" t="s">
        <v>252</v>
      </c>
      <c r="C38" s="250" t="s">
        <v>253</v>
      </c>
      <c r="D38" s="251">
        <v>358.3</v>
      </c>
    </row>
    <row r="39" spans="2:4" x14ac:dyDescent="0.25">
      <c r="B39" s="246" t="s">
        <v>254</v>
      </c>
      <c r="C39" s="250" t="s">
        <v>255</v>
      </c>
      <c r="D39" s="248">
        <v>365</v>
      </c>
    </row>
    <row r="40" spans="2:4" x14ac:dyDescent="0.25">
      <c r="B40" s="246" t="s">
        <v>256</v>
      </c>
      <c r="C40" s="250" t="s">
        <v>257</v>
      </c>
      <c r="D40" s="248">
        <f>(D35*D37*D38*30)/(D36*D39)</f>
        <v>117.8</v>
      </c>
    </row>
    <row r="41" spans="2:4" x14ac:dyDescent="0.25">
      <c r="B41" s="246"/>
      <c r="C41" s="250"/>
      <c r="D41" s="248"/>
    </row>
    <row r="42" spans="2:4" x14ac:dyDescent="0.25">
      <c r="B42" s="246" t="s">
        <v>258</v>
      </c>
      <c r="C42" s="249" t="s">
        <v>101</v>
      </c>
      <c r="D42" s="248"/>
    </row>
    <row r="43" spans="2:4" x14ac:dyDescent="0.25">
      <c r="B43" s="246" t="s">
        <v>259</v>
      </c>
      <c r="C43" s="250" t="s">
        <v>260</v>
      </c>
      <c r="D43" s="248">
        <v>2470.7199999999998</v>
      </c>
    </row>
    <row r="44" spans="2:4" x14ac:dyDescent="0.25">
      <c r="B44" s="246"/>
      <c r="C44" s="250"/>
      <c r="D44" s="248"/>
    </row>
    <row r="45" spans="2:4" x14ac:dyDescent="0.25">
      <c r="B45" s="246" t="s">
        <v>261</v>
      </c>
      <c r="C45" s="249" t="s">
        <v>262</v>
      </c>
      <c r="D45" s="254" t="s">
        <v>198</v>
      </c>
    </row>
    <row r="46" spans="2:4" x14ac:dyDescent="0.25">
      <c r="B46" s="246"/>
      <c r="C46" s="253" t="s">
        <v>263</v>
      </c>
      <c r="D46" s="256">
        <f>D10+D14+D18+D24+D32+D40</f>
        <v>2333.06</v>
      </c>
    </row>
    <row r="47" spans="2:4" x14ac:dyDescent="0.25">
      <c r="B47" s="246"/>
      <c r="C47" s="253" t="s">
        <v>264</v>
      </c>
      <c r="D47" s="254">
        <f>D10+D14+D18+D24+D32+D40+D43</f>
        <v>4803.78</v>
      </c>
    </row>
    <row r="48" spans="2:4" x14ac:dyDescent="0.25">
      <c r="B48" s="246"/>
      <c r="C48" s="249"/>
      <c r="D48" s="254"/>
    </row>
    <row r="49" spans="2:4" x14ac:dyDescent="0.25">
      <c r="B49" s="246" t="s">
        <v>265</v>
      </c>
      <c r="C49" s="249" t="s">
        <v>266</v>
      </c>
      <c r="D49" s="254"/>
    </row>
    <row r="50" spans="2:4" x14ac:dyDescent="0.25">
      <c r="B50" s="246"/>
      <c r="C50" s="253" t="s">
        <v>263</v>
      </c>
      <c r="D50" s="254">
        <f>D46/D21</f>
        <v>0.78</v>
      </c>
    </row>
    <row r="51" spans="2:4" x14ac:dyDescent="0.25">
      <c r="B51" s="246"/>
      <c r="C51" s="253" t="s">
        <v>264</v>
      </c>
      <c r="D51" s="254">
        <f>D47/D21</f>
        <v>1.6</v>
      </c>
    </row>
    <row r="52" spans="2:4" x14ac:dyDescent="0.25">
      <c r="B52" s="246"/>
      <c r="C52" s="249"/>
      <c r="D52" s="254"/>
    </row>
    <row r="53" spans="2:4" x14ac:dyDescent="0.25">
      <c r="B53" s="257" t="s">
        <v>267</v>
      </c>
      <c r="C53" s="258" t="s">
        <v>268</v>
      </c>
      <c r="D53" s="259" t="s">
        <v>198</v>
      </c>
    </row>
    <row r="54" spans="2:4" x14ac:dyDescent="0.25">
      <c r="B54" s="257" t="s">
        <v>269</v>
      </c>
      <c r="C54" s="260" t="s">
        <v>263</v>
      </c>
      <c r="D54" s="259">
        <f>D46*1.2</f>
        <v>2799.67</v>
      </c>
    </row>
    <row r="55" spans="2:4" x14ac:dyDescent="0.25">
      <c r="B55" s="257" t="s">
        <v>270</v>
      </c>
      <c r="C55" s="260" t="s">
        <v>264</v>
      </c>
      <c r="D55" s="259">
        <f>D47*1.2</f>
        <v>5764.54</v>
      </c>
    </row>
    <row r="56" spans="2:4" ht="15.75" thickBot="1" x14ac:dyDescent="0.3">
      <c r="B56" s="261"/>
      <c r="C56" s="262"/>
      <c r="D56" s="263"/>
    </row>
  </sheetData>
  <mergeCells count="3">
    <mergeCell ref="B2:D2"/>
    <mergeCell ref="B3:D3"/>
    <mergeCell ref="B4:D4"/>
  </mergeCells>
  <pageMargins left="0.51181102362204722" right="0.51181102362204722" top="0.59055118110236227" bottom="0.59055118110236227" header="0.31496062992125984" footer="0.31496062992125984"/>
  <pageSetup paperSize="9" scale="90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6"/>
  <sheetViews>
    <sheetView view="pageBreakPreview" zoomScale="110" zoomScaleNormal="100" zoomScaleSheetLayoutView="110" workbookViewId="0"/>
  </sheetViews>
  <sheetFormatPr defaultColWidth="12.7109375" defaultRowHeight="15" x14ac:dyDescent="0.25"/>
  <cols>
    <col min="1" max="1" width="1.7109375" style="244" customWidth="1"/>
    <col min="2" max="2" width="8.28515625" style="244" customWidth="1"/>
    <col min="3" max="3" width="59.7109375" style="244" customWidth="1"/>
    <col min="4" max="4" width="21.7109375" style="244" customWidth="1"/>
    <col min="5" max="5" width="2.85546875" style="244" customWidth="1"/>
    <col min="6" max="16384" width="12.7109375" style="244"/>
  </cols>
  <sheetData>
    <row r="1" spans="2:4" ht="7.5" customHeight="1" thickBot="1" x14ac:dyDescent="0.3"/>
    <row r="2" spans="2:4" s="245" customFormat="1" ht="22.5" customHeight="1" thickBot="1" x14ac:dyDescent="0.25">
      <c r="B2" s="743" t="s">
        <v>55</v>
      </c>
      <c r="C2" s="744"/>
      <c r="D2" s="745"/>
    </row>
    <row r="3" spans="2:4" ht="32.25" customHeight="1" thickBot="1" x14ac:dyDescent="0.3">
      <c r="B3" s="746" t="s">
        <v>536</v>
      </c>
      <c r="C3" s="747"/>
      <c r="D3" s="748"/>
    </row>
    <row r="4" spans="2:4" ht="15.75" thickBot="1" x14ac:dyDescent="0.3">
      <c r="B4" s="749" t="s">
        <v>548</v>
      </c>
      <c r="C4" s="750"/>
      <c r="D4" s="751"/>
    </row>
    <row r="5" spans="2:4" x14ac:dyDescent="0.25">
      <c r="B5" s="246" t="s">
        <v>199</v>
      </c>
      <c r="C5" s="249" t="s">
        <v>200</v>
      </c>
      <c r="D5" s="248"/>
    </row>
    <row r="6" spans="2:4" x14ac:dyDescent="0.25">
      <c r="B6" s="246" t="s">
        <v>201</v>
      </c>
      <c r="C6" s="250" t="s">
        <v>202</v>
      </c>
      <c r="D6" s="251">
        <v>110778</v>
      </c>
    </row>
    <row r="7" spans="2:4" x14ac:dyDescent="0.25">
      <c r="B7" s="246" t="s">
        <v>203</v>
      </c>
      <c r="C7" s="250" t="s">
        <v>204</v>
      </c>
      <c r="D7" s="248">
        <v>36</v>
      </c>
    </row>
    <row r="8" spans="2:4" x14ac:dyDescent="0.25">
      <c r="B8" s="246" t="s">
        <v>205</v>
      </c>
      <c r="C8" s="250" t="s">
        <v>206</v>
      </c>
      <c r="D8" s="252">
        <v>0.4</v>
      </c>
    </row>
    <row r="9" spans="2:4" x14ac:dyDescent="0.25">
      <c r="B9" s="246" t="s">
        <v>207</v>
      </c>
      <c r="C9" s="250" t="s">
        <v>208</v>
      </c>
      <c r="D9" s="248">
        <f>(D6-(D8*D6))/D7</f>
        <v>1846.3</v>
      </c>
    </row>
    <row r="10" spans="2:4" x14ac:dyDescent="0.25">
      <c r="B10" s="246" t="s">
        <v>209</v>
      </c>
      <c r="C10" s="249" t="s">
        <v>210</v>
      </c>
      <c r="D10" s="248"/>
    </row>
    <row r="11" spans="2:4" x14ac:dyDescent="0.25">
      <c r="B11" s="246" t="s">
        <v>211</v>
      </c>
      <c r="C11" s="250" t="s">
        <v>212</v>
      </c>
      <c r="D11" s="252">
        <v>0.05</v>
      </c>
    </row>
    <row r="12" spans="2:4" x14ac:dyDescent="0.25">
      <c r="B12" s="246" t="s">
        <v>213</v>
      </c>
      <c r="C12" s="253" t="s">
        <v>214</v>
      </c>
      <c r="D12" s="248">
        <f>D11*D9</f>
        <v>92.32</v>
      </c>
    </row>
    <row r="13" spans="2:4" x14ac:dyDescent="0.25">
      <c r="B13" s="246" t="s">
        <v>215</v>
      </c>
      <c r="C13" s="249" t="s">
        <v>216</v>
      </c>
      <c r="D13" s="248"/>
    </row>
    <row r="14" spans="2:4" x14ac:dyDescent="0.25">
      <c r="B14" s="246" t="s">
        <v>217</v>
      </c>
      <c r="C14" s="250" t="s">
        <v>218</v>
      </c>
      <c r="D14" s="252">
        <v>1</v>
      </c>
    </row>
    <row r="15" spans="2:4" x14ac:dyDescent="0.25">
      <c r="B15" s="246" t="s">
        <v>219</v>
      </c>
      <c r="C15" s="250" t="s">
        <v>220</v>
      </c>
      <c r="D15" s="248">
        <f>D14*D9</f>
        <v>1846.3</v>
      </c>
    </row>
    <row r="16" spans="2:4" x14ac:dyDescent="0.25">
      <c r="B16" s="246" t="s">
        <v>221</v>
      </c>
      <c r="C16" s="249" t="s">
        <v>222</v>
      </c>
      <c r="D16" s="248"/>
    </row>
    <row r="17" spans="2:4" x14ac:dyDescent="0.25">
      <c r="B17" s="246" t="s">
        <v>223</v>
      </c>
      <c r="C17" s="250" t="s">
        <v>224</v>
      </c>
      <c r="D17" s="248">
        <v>3000</v>
      </c>
    </row>
    <row r="18" spans="2:4" x14ac:dyDescent="0.25">
      <c r="B18" s="246" t="s">
        <v>225</v>
      </c>
      <c r="C18" s="250" t="s">
        <v>226</v>
      </c>
      <c r="D18" s="248">
        <v>2.0699999999999998</v>
      </c>
    </row>
    <row r="19" spans="2:4" x14ac:dyDescent="0.25">
      <c r="B19" s="246" t="s">
        <v>227</v>
      </c>
      <c r="C19" s="250" t="s">
        <v>228</v>
      </c>
      <c r="D19" s="248">
        <v>10</v>
      </c>
    </row>
    <row r="20" spans="2:4" x14ac:dyDescent="0.25">
      <c r="B20" s="246" t="s">
        <v>229</v>
      </c>
      <c r="C20" s="250" t="s">
        <v>230</v>
      </c>
      <c r="D20" s="248">
        <f>(D17/D19)*D18</f>
        <v>621</v>
      </c>
    </row>
    <row r="21" spans="2:4" x14ac:dyDescent="0.25">
      <c r="B21" s="246" t="s">
        <v>231</v>
      </c>
      <c r="C21" s="249" t="s">
        <v>232</v>
      </c>
      <c r="D21" s="248"/>
    </row>
    <row r="22" spans="2:4" x14ac:dyDescent="0.25">
      <c r="B22" s="246" t="s">
        <v>233</v>
      </c>
      <c r="C22" s="250" t="s">
        <v>234</v>
      </c>
      <c r="D22" s="248">
        <f>D17*12</f>
        <v>36000</v>
      </c>
    </row>
    <row r="23" spans="2:4" x14ac:dyDescent="0.25">
      <c r="B23" s="246" t="s">
        <v>235</v>
      </c>
      <c r="C23" s="250" t="s">
        <v>236</v>
      </c>
      <c r="D23" s="248">
        <v>5000</v>
      </c>
    </row>
    <row r="24" spans="2:4" x14ac:dyDescent="0.25">
      <c r="B24" s="246" t="s">
        <v>237</v>
      </c>
      <c r="C24" s="250" t="s">
        <v>238</v>
      </c>
      <c r="D24" s="248">
        <v>24.93</v>
      </c>
    </row>
    <row r="25" spans="2:4" x14ac:dyDescent="0.25">
      <c r="B25" s="246" t="s">
        <v>239</v>
      </c>
      <c r="C25" s="250" t="s">
        <v>240</v>
      </c>
      <c r="D25" s="248">
        <v>3.5</v>
      </c>
    </row>
    <row r="26" spans="2:4" x14ac:dyDescent="0.25">
      <c r="B26" s="246" t="s">
        <v>241</v>
      </c>
      <c r="C26" s="250" t="s">
        <v>242</v>
      </c>
      <c r="D26" s="248">
        <v>365</v>
      </c>
    </row>
    <row r="27" spans="2:4" x14ac:dyDescent="0.25">
      <c r="B27" s="246" t="s">
        <v>243</v>
      </c>
      <c r="C27" s="250" t="s">
        <v>244</v>
      </c>
      <c r="D27" s="254">
        <f>(D22*D24*D25*30)/(D23*D26)</f>
        <v>51.64</v>
      </c>
    </row>
    <row r="28" spans="2:4" x14ac:dyDescent="0.25">
      <c r="B28" s="246" t="s">
        <v>245</v>
      </c>
      <c r="C28" s="249" t="s">
        <v>246</v>
      </c>
      <c r="D28" s="255"/>
    </row>
    <row r="29" spans="2:4" x14ac:dyDescent="0.25">
      <c r="B29" s="246" t="s">
        <v>247</v>
      </c>
      <c r="C29" s="250" t="s">
        <v>234</v>
      </c>
      <c r="D29" s="248">
        <f>D17*12</f>
        <v>36000</v>
      </c>
    </row>
    <row r="30" spans="2:4" x14ac:dyDescent="0.25">
      <c r="B30" s="246" t="s">
        <v>248</v>
      </c>
      <c r="C30" s="250" t="s">
        <v>249</v>
      </c>
      <c r="D30" s="248">
        <v>45000</v>
      </c>
    </row>
    <row r="31" spans="2:4" x14ac:dyDescent="0.25">
      <c r="B31" s="246" t="s">
        <v>250</v>
      </c>
      <c r="C31" s="250" t="s">
        <v>251</v>
      </c>
      <c r="D31" s="248">
        <v>5</v>
      </c>
    </row>
    <row r="32" spans="2:4" x14ac:dyDescent="0.25">
      <c r="B32" s="246" t="s">
        <v>252</v>
      </c>
      <c r="C32" s="250" t="s">
        <v>253</v>
      </c>
      <c r="D32" s="251">
        <v>588.45000000000005</v>
      </c>
    </row>
    <row r="33" spans="2:4" x14ac:dyDescent="0.25">
      <c r="B33" s="246" t="s">
        <v>254</v>
      </c>
      <c r="C33" s="250" t="s">
        <v>255</v>
      </c>
      <c r="D33" s="248">
        <v>365</v>
      </c>
    </row>
    <row r="34" spans="2:4" x14ac:dyDescent="0.25">
      <c r="B34" s="246" t="s">
        <v>256</v>
      </c>
      <c r="C34" s="250" t="s">
        <v>257</v>
      </c>
      <c r="D34" s="248">
        <f>(D29*D31*D32*30)/(D30*D33)</f>
        <v>193.46</v>
      </c>
    </row>
    <row r="35" spans="2:4" x14ac:dyDescent="0.25">
      <c r="B35" s="246" t="s">
        <v>258</v>
      </c>
      <c r="C35" s="249" t="s">
        <v>101</v>
      </c>
      <c r="D35" s="248"/>
    </row>
    <row r="36" spans="2:4" x14ac:dyDescent="0.25">
      <c r="B36" s="246" t="s">
        <v>259</v>
      </c>
      <c r="C36" s="250" t="s">
        <v>260</v>
      </c>
      <c r="D36" s="248">
        <v>2470.7199999999998</v>
      </c>
    </row>
    <row r="37" spans="2:4" x14ac:dyDescent="0.25">
      <c r="B37" s="246" t="s">
        <v>261</v>
      </c>
      <c r="C37" s="249" t="s">
        <v>262</v>
      </c>
      <c r="D37" s="254" t="s">
        <v>198</v>
      </c>
    </row>
    <row r="38" spans="2:4" x14ac:dyDescent="0.25">
      <c r="B38" s="246"/>
      <c r="C38" s="253" t="s">
        <v>263</v>
      </c>
      <c r="D38" s="256">
        <f>D9+D12+D15+D20+D27+D34</f>
        <v>4651.0200000000004</v>
      </c>
    </row>
    <row r="39" spans="2:4" x14ac:dyDescent="0.25">
      <c r="B39" s="246"/>
      <c r="C39" s="253" t="s">
        <v>264</v>
      </c>
      <c r="D39" s="254">
        <f>D9+D12+D15+D20+D27+D34+D36</f>
        <v>7121.74</v>
      </c>
    </row>
    <row r="40" spans="2:4" x14ac:dyDescent="0.25">
      <c r="B40" s="246" t="s">
        <v>265</v>
      </c>
      <c r="C40" s="249" t="s">
        <v>266</v>
      </c>
      <c r="D40" s="254"/>
    </row>
    <row r="41" spans="2:4" x14ac:dyDescent="0.25">
      <c r="B41" s="246"/>
      <c r="C41" s="253" t="s">
        <v>263</v>
      </c>
      <c r="D41" s="254">
        <f>D38/D17</f>
        <v>1.55</v>
      </c>
    </row>
    <row r="42" spans="2:4" x14ac:dyDescent="0.25">
      <c r="B42" s="246"/>
      <c r="C42" s="253" t="s">
        <v>264</v>
      </c>
      <c r="D42" s="254">
        <f>D39/D17</f>
        <v>2.37</v>
      </c>
    </row>
    <row r="43" spans="2:4" x14ac:dyDescent="0.25">
      <c r="B43" s="257" t="s">
        <v>267</v>
      </c>
      <c r="C43" s="258" t="s">
        <v>268</v>
      </c>
      <c r="D43" s="259" t="s">
        <v>198</v>
      </c>
    </row>
    <row r="44" spans="2:4" x14ac:dyDescent="0.25">
      <c r="B44" s="257" t="s">
        <v>269</v>
      </c>
      <c r="C44" s="260" t="s">
        <v>263</v>
      </c>
      <c r="D44" s="259">
        <f>D38*1.2</f>
        <v>5581.22</v>
      </c>
    </row>
    <row r="45" spans="2:4" x14ac:dyDescent="0.25">
      <c r="B45" s="257" t="s">
        <v>270</v>
      </c>
      <c r="C45" s="260" t="s">
        <v>264</v>
      </c>
      <c r="D45" s="259">
        <f>D39*1.2</f>
        <v>8546.09</v>
      </c>
    </row>
    <row r="46" spans="2:4" ht="15.75" thickBot="1" x14ac:dyDescent="0.3">
      <c r="B46" s="261"/>
      <c r="C46" s="262"/>
      <c r="D46" s="263"/>
    </row>
  </sheetData>
  <mergeCells count="3">
    <mergeCell ref="B2:D2"/>
    <mergeCell ref="B3:D3"/>
    <mergeCell ref="B4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Normal="110" zoomScaleSheetLayoutView="100" workbookViewId="0"/>
  </sheetViews>
  <sheetFormatPr defaultRowHeight="12.75" x14ac:dyDescent="0.2"/>
  <cols>
    <col min="1" max="1" width="3.7109375" style="105" customWidth="1"/>
    <col min="2" max="2" width="10.28515625" style="480" customWidth="1"/>
    <col min="3" max="3" width="45.85546875" style="481" customWidth="1"/>
    <col min="4" max="4" width="9.140625" style="480" customWidth="1"/>
    <col min="5" max="5" width="13" style="489" customWidth="1"/>
    <col min="6" max="6" width="18.5703125" style="480" customWidth="1"/>
    <col min="7" max="7" width="9.7109375" style="442" customWidth="1"/>
    <col min="8" max="8" width="23" style="105" customWidth="1"/>
    <col min="9" max="9" width="9.140625" style="443"/>
    <col min="10" max="16384" width="9.140625" style="105"/>
  </cols>
  <sheetData>
    <row r="1" spans="1:11" x14ac:dyDescent="0.2">
      <c r="A1" s="101"/>
      <c r="B1" s="469"/>
      <c r="C1" s="470"/>
      <c r="D1" s="471"/>
      <c r="F1" s="471"/>
    </row>
    <row r="2" spans="1:11" s="1" customFormat="1" ht="12" customHeight="1" x14ac:dyDescent="0.25">
      <c r="B2" s="734" t="s">
        <v>538</v>
      </c>
      <c r="C2" s="735"/>
      <c r="D2" s="735"/>
      <c r="E2" s="735"/>
      <c r="F2" s="736"/>
      <c r="G2" s="482"/>
      <c r="H2" s="482"/>
      <c r="J2" s="186"/>
    </row>
    <row r="3" spans="1:11" s="4" customFormat="1" ht="12" customHeight="1" x14ac:dyDescent="0.25">
      <c r="B3" s="737"/>
      <c r="C3" s="738"/>
      <c r="D3" s="738"/>
      <c r="E3" s="738"/>
      <c r="F3" s="739"/>
      <c r="G3" s="482"/>
      <c r="H3" s="482"/>
      <c r="J3" s="187"/>
    </row>
    <row r="4" spans="1:11" s="4" customFormat="1" ht="12.75" customHeight="1" x14ac:dyDescent="0.25">
      <c r="B4" s="737"/>
      <c r="C4" s="738"/>
      <c r="D4" s="738"/>
      <c r="E4" s="738"/>
      <c r="F4" s="739"/>
      <c r="G4" s="482"/>
      <c r="H4" s="482"/>
      <c r="J4" s="187"/>
    </row>
    <row r="5" spans="1:11" s="4" customFormat="1" ht="15.75" customHeight="1" x14ac:dyDescent="0.25">
      <c r="B5" s="740"/>
      <c r="C5" s="741"/>
      <c r="D5" s="741"/>
      <c r="E5" s="741"/>
      <c r="F5" s="742"/>
      <c r="G5" s="482"/>
      <c r="H5" s="482"/>
      <c r="J5" s="187"/>
    </row>
    <row r="6" spans="1:11" x14ac:dyDescent="0.2">
      <c r="A6" s="101"/>
      <c r="B6" s="472"/>
      <c r="C6" s="318" t="s">
        <v>627</v>
      </c>
      <c r="D6" s="473" t="s">
        <v>271</v>
      </c>
      <c r="E6" s="490">
        <v>22.5</v>
      </c>
      <c r="F6" s="474" t="s">
        <v>272</v>
      </c>
    </row>
    <row r="7" spans="1:11" x14ac:dyDescent="0.2">
      <c r="A7" s="391"/>
      <c r="B7" s="469"/>
      <c r="C7" s="475"/>
      <c r="D7" s="476"/>
      <c r="F7" s="476"/>
    </row>
    <row r="8" spans="1:11" x14ac:dyDescent="0.2">
      <c r="A8" s="101"/>
      <c r="B8" s="731" t="s">
        <v>273</v>
      </c>
      <c r="C8" s="732"/>
      <c r="D8" s="732"/>
      <c r="E8" s="732"/>
      <c r="F8" s="733"/>
      <c r="H8" s="105" t="s">
        <v>274</v>
      </c>
    </row>
    <row r="9" spans="1:11" x14ac:dyDescent="0.2">
      <c r="A9" s="391"/>
      <c r="B9" s="469"/>
      <c r="C9" s="475"/>
      <c r="D9" s="476"/>
      <c r="F9" s="476"/>
      <c r="H9" s="493">
        <v>1.9252</v>
      </c>
    </row>
    <row r="10" spans="1:11" x14ac:dyDescent="0.2">
      <c r="A10" s="101"/>
      <c r="B10" s="486" t="s">
        <v>2</v>
      </c>
      <c r="C10" s="485" t="s">
        <v>275</v>
      </c>
      <c r="D10" s="484" t="s">
        <v>5</v>
      </c>
      <c r="E10" s="491" t="s">
        <v>276</v>
      </c>
      <c r="F10" s="483" t="s">
        <v>277</v>
      </c>
      <c r="H10" s="444" t="s">
        <v>626</v>
      </c>
    </row>
    <row r="11" spans="1:11" s="448" customFormat="1" ht="15.95" customHeight="1" x14ac:dyDescent="0.2">
      <c r="B11" s="116"/>
      <c r="C11" s="324" t="s">
        <v>409</v>
      </c>
      <c r="D11" s="118"/>
      <c r="E11" s="269"/>
      <c r="F11" s="118"/>
      <c r="G11" s="439"/>
      <c r="I11" s="450"/>
    </row>
    <row r="12" spans="1:11" s="448" customFormat="1" ht="15.95" customHeight="1" x14ac:dyDescent="0.2">
      <c r="A12" s="477"/>
      <c r="B12" s="116"/>
      <c r="C12" s="320" t="s">
        <v>364</v>
      </c>
      <c r="D12" s="114" t="s">
        <v>167</v>
      </c>
      <c r="E12" s="268">
        <v>2</v>
      </c>
      <c r="F12" s="115" t="s">
        <v>320</v>
      </c>
      <c r="G12" s="445"/>
      <c r="I12" s="450"/>
    </row>
    <row r="13" spans="1:11" s="448" customFormat="1" ht="15.95" customHeight="1" x14ac:dyDescent="0.2">
      <c r="A13" s="477"/>
      <c r="B13" s="118"/>
      <c r="C13" s="321" t="s">
        <v>499</v>
      </c>
      <c r="D13" s="114" t="s">
        <v>67</v>
      </c>
      <c r="E13" s="268">
        <v>150</v>
      </c>
      <c r="F13" s="115" t="s">
        <v>320</v>
      </c>
      <c r="G13" s="445"/>
      <c r="H13" s="128"/>
      <c r="I13" s="450"/>
    </row>
    <row r="14" spans="1:11" s="448" customFormat="1" ht="66.75" customHeight="1" x14ac:dyDescent="0.2">
      <c r="A14" s="477"/>
      <c r="B14" s="118"/>
      <c r="C14" s="321" t="s">
        <v>195</v>
      </c>
      <c r="D14" s="114" t="s">
        <v>398</v>
      </c>
      <c r="E14" s="268">
        <v>5162</v>
      </c>
      <c r="F14" s="115" t="s">
        <v>320</v>
      </c>
      <c r="G14" s="445"/>
      <c r="H14" s="128"/>
      <c r="I14" s="450"/>
    </row>
    <row r="15" spans="1:11" s="448" customFormat="1" ht="28.5" customHeight="1" x14ac:dyDescent="0.2">
      <c r="A15" s="477"/>
      <c r="B15" s="114"/>
      <c r="C15" s="325" t="s">
        <v>545</v>
      </c>
      <c r="D15" s="116" t="s">
        <v>398</v>
      </c>
      <c r="E15" s="268">
        <v>1500</v>
      </c>
      <c r="F15" s="115" t="s">
        <v>320</v>
      </c>
      <c r="G15" s="445">
        <v>4032.37</v>
      </c>
      <c r="I15" s="450"/>
    </row>
    <row r="16" spans="1:11" s="448" customFormat="1" ht="25.5" x14ac:dyDescent="0.2">
      <c r="A16" s="477">
        <v>1</v>
      </c>
      <c r="B16" s="118"/>
      <c r="C16" s="320" t="s">
        <v>628</v>
      </c>
      <c r="D16" s="114" t="s">
        <v>27</v>
      </c>
      <c r="E16" s="268">
        <v>17.27</v>
      </c>
      <c r="F16" s="115" t="s">
        <v>320</v>
      </c>
      <c r="G16" s="451" t="s">
        <v>507</v>
      </c>
      <c r="H16" s="452"/>
      <c r="I16" s="453"/>
      <c r="J16" s="454"/>
      <c r="K16" s="448">
        <v>17.98</v>
      </c>
    </row>
    <row r="17" spans="1:10" s="448" customFormat="1" ht="15.95" customHeight="1" x14ac:dyDescent="0.2">
      <c r="A17" s="477"/>
      <c r="B17" s="116"/>
      <c r="C17" s="319" t="s">
        <v>437</v>
      </c>
      <c r="D17" s="114" t="s">
        <v>27</v>
      </c>
      <c r="E17" s="268">
        <f>420/4</f>
        <v>105</v>
      </c>
      <c r="F17" s="115" t="s">
        <v>320</v>
      </c>
      <c r="G17" s="451"/>
      <c r="H17" s="452"/>
      <c r="I17" s="453"/>
      <c r="J17" s="454"/>
    </row>
    <row r="18" spans="1:10" s="448" customFormat="1" ht="27.75" customHeight="1" x14ac:dyDescent="0.2">
      <c r="A18" s="477"/>
      <c r="B18" s="289"/>
      <c r="C18" s="456" t="s">
        <v>539</v>
      </c>
      <c r="D18" s="457" t="s">
        <v>67</v>
      </c>
      <c r="E18" s="268">
        <v>8.99</v>
      </c>
      <c r="F18" s="115"/>
      <c r="G18" s="445"/>
      <c r="H18" s="449"/>
      <c r="I18" s="450"/>
    </row>
    <row r="19" spans="1:10" s="448" customFormat="1" ht="27.75" customHeight="1" x14ac:dyDescent="0.2">
      <c r="A19" s="477"/>
      <c r="B19" s="289"/>
      <c r="C19" s="456" t="s">
        <v>408</v>
      </c>
      <c r="D19" s="457" t="s">
        <v>67</v>
      </c>
      <c r="E19" s="268">
        <v>1.1599999999999999</v>
      </c>
      <c r="F19" s="115"/>
      <c r="G19" s="445"/>
      <c r="H19" s="449"/>
      <c r="I19" s="450"/>
    </row>
    <row r="20" spans="1:10" s="448" customFormat="1" ht="15.95" customHeight="1" x14ac:dyDescent="0.2">
      <c r="A20" s="477">
        <v>1</v>
      </c>
      <c r="B20" s="116"/>
      <c r="C20" s="313" t="s">
        <v>427</v>
      </c>
      <c r="D20" s="116" t="s">
        <v>398</v>
      </c>
      <c r="E20" s="268">
        <v>98.76</v>
      </c>
      <c r="F20" s="115" t="s">
        <v>320</v>
      </c>
      <c r="G20" s="445">
        <v>98.99</v>
      </c>
      <c r="H20" s="462"/>
      <c r="I20" s="450"/>
    </row>
    <row r="21" spans="1:10" s="448" customFormat="1" ht="15.95" customHeight="1" x14ac:dyDescent="0.2">
      <c r="A21" s="477"/>
      <c r="B21" s="116">
        <v>9850</v>
      </c>
      <c r="C21" s="313" t="s">
        <v>415</v>
      </c>
      <c r="D21" s="114" t="s">
        <v>27</v>
      </c>
      <c r="E21" s="268">
        <f>294.09/2</f>
        <v>147.05000000000001</v>
      </c>
      <c r="F21" s="115" t="s">
        <v>278</v>
      </c>
      <c r="G21" s="439"/>
      <c r="H21" s="463">
        <v>41060</v>
      </c>
      <c r="I21" s="450"/>
    </row>
    <row r="22" spans="1:10" s="448" customFormat="1" ht="29.25" customHeight="1" x14ac:dyDescent="0.2">
      <c r="A22" s="479">
        <v>1</v>
      </c>
      <c r="B22" s="118"/>
      <c r="C22" s="313" t="s">
        <v>579</v>
      </c>
      <c r="D22" s="116" t="s">
        <v>398</v>
      </c>
      <c r="E22" s="492">
        <f>2772.9*1.15</f>
        <v>3188.84</v>
      </c>
      <c r="F22" s="118" t="s">
        <v>320</v>
      </c>
      <c r="G22" s="461" t="s">
        <v>506</v>
      </c>
      <c r="I22" s="450"/>
    </row>
    <row r="23" spans="1:10" s="448" customFormat="1" ht="15.95" customHeight="1" x14ac:dyDescent="0.2">
      <c r="A23" s="479">
        <v>1</v>
      </c>
      <c r="B23" s="118">
        <v>12895</v>
      </c>
      <c r="C23" s="321" t="s">
        <v>321</v>
      </c>
      <c r="D23" s="116" t="s">
        <v>398</v>
      </c>
      <c r="E23" s="269">
        <v>8.83</v>
      </c>
      <c r="F23" s="118" t="s">
        <v>278</v>
      </c>
      <c r="G23" s="461"/>
      <c r="I23" s="450"/>
    </row>
    <row r="24" spans="1:10" s="448" customFormat="1" ht="15.95" customHeight="1" x14ac:dyDescent="0.2">
      <c r="A24" s="479">
        <v>1</v>
      </c>
      <c r="B24" s="118">
        <v>12893</v>
      </c>
      <c r="C24" s="321" t="s">
        <v>322</v>
      </c>
      <c r="D24" s="116" t="s">
        <v>634</v>
      </c>
      <c r="E24" s="269">
        <v>25.05</v>
      </c>
      <c r="F24" s="118" t="s">
        <v>278</v>
      </c>
      <c r="G24" s="461"/>
      <c r="I24" s="450"/>
    </row>
    <row r="25" spans="1:10" s="448" customFormat="1" ht="15.95" customHeight="1" x14ac:dyDescent="0.2">
      <c r="A25" s="479">
        <v>1</v>
      </c>
      <c r="B25" s="118"/>
      <c r="C25" s="321" t="s">
        <v>323</v>
      </c>
      <c r="D25" s="116" t="s">
        <v>634</v>
      </c>
      <c r="E25" s="269">
        <v>4.45</v>
      </c>
      <c r="F25" s="118" t="s">
        <v>320</v>
      </c>
      <c r="G25" s="461"/>
      <c r="I25" s="450"/>
    </row>
    <row r="26" spans="1:10" s="448" customFormat="1" ht="15.95" customHeight="1" x14ac:dyDescent="0.2">
      <c r="A26" s="479">
        <v>1</v>
      </c>
      <c r="B26" s="118"/>
      <c r="C26" s="321" t="s">
        <v>324</v>
      </c>
      <c r="D26" s="116" t="s">
        <v>398</v>
      </c>
      <c r="E26" s="269">
        <v>0.65</v>
      </c>
      <c r="F26" s="118" t="s">
        <v>320</v>
      </c>
      <c r="G26" s="461"/>
      <c r="I26" s="450"/>
    </row>
    <row r="27" spans="1:10" s="448" customFormat="1" ht="51.95" customHeight="1" x14ac:dyDescent="0.2">
      <c r="A27" s="479"/>
      <c r="B27" s="116"/>
      <c r="C27" s="330" t="s">
        <v>523</v>
      </c>
      <c r="D27" s="116" t="s">
        <v>398</v>
      </c>
      <c r="E27" s="269">
        <v>150</v>
      </c>
      <c r="F27" s="118" t="s">
        <v>320</v>
      </c>
      <c r="G27" s="461">
        <v>150</v>
      </c>
      <c r="H27" s="448">
        <f>G27*0.02</f>
        <v>3</v>
      </c>
      <c r="I27" s="450"/>
    </row>
    <row r="28" spans="1:10" s="448" customFormat="1" ht="51.95" customHeight="1" x14ac:dyDescent="0.2">
      <c r="A28" s="479"/>
      <c r="B28" s="116"/>
      <c r="C28" s="330" t="s">
        <v>524</v>
      </c>
      <c r="D28" s="116" t="s">
        <v>398</v>
      </c>
      <c r="E28" s="269">
        <v>210</v>
      </c>
      <c r="F28" s="118" t="s">
        <v>320</v>
      </c>
      <c r="G28" s="461">
        <v>210</v>
      </c>
      <c r="I28" s="450"/>
    </row>
    <row r="29" spans="1:10" s="448" customFormat="1" ht="15.95" customHeight="1" x14ac:dyDescent="0.2">
      <c r="A29" s="479">
        <v>1</v>
      </c>
      <c r="B29" s="118"/>
      <c r="C29" s="313" t="s">
        <v>113</v>
      </c>
      <c r="D29" s="116" t="s">
        <v>398</v>
      </c>
      <c r="E29" s="269">
        <v>85</v>
      </c>
      <c r="F29" s="118" t="s">
        <v>327</v>
      </c>
      <c r="G29" s="461"/>
      <c r="H29" s="463">
        <v>41060</v>
      </c>
      <c r="I29" s="450"/>
    </row>
    <row r="30" spans="1:10" s="448" customFormat="1" ht="15.95" customHeight="1" x14ac:dyDescent="0.2">
      <c r="A30" s="479"/>
      <c r="B30" s="118"/>
      <c r="C30" s="313" t="s">
        <v>328</v>
      </c>
      <c r="D30" s="116" t="s">
        <v>398</v>
      </c>
      <c r="E30" s="269">
        <v>100</v>
      </c>
      <c r="F30" s="118" t="s">
        <v>329</v>
      </c>
      <c r="G30" s="461"/>
      <c r="I30" s="450"/>
    </row>
    <row r="31" spans="1:10" s="448" customFormat="1" ht="15.95" customHeight="1" x14ac:dyDescent="0.2">
      <c r="B31" s="118" t="s">
        <v>331</v>
      </c>
      <c r="C31" s="313" t="s">
        <v>505</v>
      </c>
      <c r="D31" s="116" t="s">
        <v>398</v>
      </c>
      <c r="E31" s="269">
        <v>575.59</v>
      </c>
      <c r="F31" s="118" t="s">
        <v>320</v>
      </c>
      <c r="G31" s="461"/>
      <c r="H31" s="465">
        <f>G31*0.03</f>
        <v>0</v>
      </c>
      <c r="I31" s="450"/>
    </row>
    <row r="32" spans="1:10" s="448" customFormat="1" ht="15.95" customHeight="1" x14ac:dyDescent="0.2">
      <c r="B32" s="118" t="s">
        <v>607</v>
      </c>
      <c r="C32" s="313" t="s">
        <v>606</v>
      </c>
      <c r="D32" s="116" t="s">
        <v>398</v>
      </c>
      <c r="E32" s="269">
        <v>675</v>
      </c>
      <c r="F32" s="118" t="s">
        <v>608</v>
      </c>
      <c r="G32" s="461"/>
      <c r="H32" s="465"/>
      <c r="I32" s="450"/>
    </row>
    <row r="33" spans="1:9" s="448" customFormat="1" ht="15.95" customHeight="1" x14ac:dyDescent="0.2">
      <c r="A33" s="465"/>
      <c r="B33" s="116"/>
      <c r="C33" s="326" t="s">
        <v>497</v>
      </c>
      <c r="D33" s="116" t="s">
        <v>398</v>
      </c>
      <c r="E33" s="269">
        <v>62.8</v>
      </c>
      <c r="F33" s="116" t="s">
        <v>333</v>
      </c>
      <c r="G33" s="461"/>
      <c r="H33" s="465"/>
      <c r="I33" s="450"/>
    </row>
    <row r="34" spans="1:9" s="448" customFormat="1" ht="52.5" customHeight="1" x14ac:dyDescent="0.2">
      <c r="B34" s="116"/>
      <c r="C34" s="325" t="s">
        <v>425</v>
      </c>
      <c r="D34" s="116" t="s">
        <v>398</v>
      </c>
      <c r="E34" s="269">
        <v>500</v>
      </c>
      <c r="F34" s="118" t="s">
        <v>320</v>
      </c>
      <c r="G34" s="461"/>
      <c r="H34" s="467"/>
      <c r="I34" s="450"/>
    </row>
    <row r="35" spans="1:9" s="448" customFormat="1" ht="55.5" customHeight="1" x14ac:dyDescent="0.2">
      <c r="B35" s="118"/>
      <c r="C35" s="325" t="s">
        <v>511</v>
      </c>
      <c r="D35" s="116" t="s">
        <v>398</v>
      </c>
      <c r="E35" s="269">
        <v>730</v>
      </c>
      <c r="F35" s="118" t="s">
        <v>320</v>
      </c>
      <c r="G35" s="466"/>
      <c r="H35" s="465"/>
      <c r="I35" s="450"/>
    </row>
  </sheetData>
  <autoFilter ref="A10:G17"/>
  <mergeCells count="2">
    <mergeCell ref="B2:F5"/>
    <mergeCell ref="B8:F8"/>
  </mergeCells>
  <pageMargins left="0.51180555555555551" right="0.51180555555555551" top="0.78749999999999998" bottom="0.78749999999999998" header="0.51180555555555551" footer="0.51180555555555551"/>
  <pageSetup paperSize="9" scale="86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RESUMO</vt:lpstr>
      <vt:lpstr>PERFURAÇÃO</vt:lpstr>
      <vt:lpstr>INSTALAÇÃO</vt:lpstr>
      <vt:lpstr>CPU POÇOS</vt:lpstr>
      <vt:lpstr>INSUMOS</vt:lpstr>
      <vt:lpstr>Veiculo</vt:lpstr>
      <vt:lpstr>Veículo Fiscalização</vt:lpstr>
      <vt:lpstr>Plan1</vt:lpstr>
      <vt:lpstr>INSUMOS (2)</vt:lpstr>
      <vt:lpstr>'CPU POÇOS'!Area_de_impressao</vt:lpstr>
      <vt:lpstr>INSTALAÇÃO!Area_de_impressao</vt:lpstr>
      <vt:lpstr>INSUMOS!Area_de_impressao</vt:lpstr>
      <vt:lpstr>'INSUMOS (2)'!Area_de_impressao</vt:lpstr>
      <vt:lpstr>PERFURAÇÃO!Area_de_impressao</vt:lpstr>
      <vt:lpstr>RESUMO!Area_de_impressao</vt:lpstr>
      <vt:lpstr>Veiculo!Area_de_impressao</vt:lpstr>
      <vt:lpstr>'Veículo Fiscalização'!Area_de_impressao</vt:lpstr>
      <vt:lpstr>INSTALAÇÃO!Titulos_de_impressao</vt:lpstr>
      <vt:lpstr>PERFURAÇÃO!Titulos_de_impressao</vt:lpstr>
      <vt:lpstr>RESUMO!Titulos_de_impressao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LUIZA</dc:creator>
  <cp:lastModifiedBy>Ladeira</cp:lastModifiedBy>
  <cp:lastPrinted>2013-07-14T16:51:24Z</cp:lastPrinted>
  <dcterms:created xsi:type="dcterms:W3CDTF">2013-05-02T14:52:15Z</dcterms:created>
  <dcterms:modified xsi:type="dcterms:W3CDTF">2013-07-14T16:57:05Z</dcterms:modified>
</cp:coreProperties>
</file>