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5490" yWindow="-315" windowWidth="15480" windowHeight="8715" tabRatio="919"/>
  </bookViews>
  <sheets>
    <sheet name="Serviços" sheetId="5" r:id="rId1"/>
    <sheet name="CPU" sheetId="2" r:id="rId2"/>
    <sheet name="Insumos" sheetId="6" r:id="rId3"/>
    <sheet name="BDI" sheetId="1" r:id="rId4"/>
    <sheet name="Mem. Cálc." sheetId="4" r:id="rId5"/>
    <sheet name="Horista" sheetId="10" r:id="rId6"/>
    <sheet name="Mensalista" sheetId="11" r:id="rId7"/>
    <sheet name="Veiculo" sheetId="12" r:id="rId8"/>
    <sheet name="PO-I" sheetId="14" r:id="rId9"/>
  </sheets>
  <externalReferences>
    <externalReference r:id="rId10"/>
  </externalReferences>
  <definedNames>
    <definedName name="_aga14" localSheetId="8">Insumos!#REF!</definedName>
    <definedName name="_aga14">Insumos!#REF!</definedName>
    <definedName name="_aga16" localSheetId="8">Insumos!#REF!</definedName>
    <definedName name="_aga16">Insumos!#REF!</definedName>
    <definedName name="_asc321" localSheetId="8">Insumos!#REF!</definedName>
    <definedName name="_asc321">Insumos!#REF!</definedName>
    <definedName name="_bur3220" localSheetId="8">Insumos!#REF!</definedName>
    <definedName name="_bur3220">Insumos!#REF!</definedName>
    <definedName name="_cap20" localSheetId="8">Insumos!#REF!</definedName>
    <definedName name="_cap20">Insumos!#REF!</definedName>
    <definedName name="_ccr12" localSheetId="8">Insumos!#REF!</definedName>
    <definedName name="_ccr12">Insumos!#REF!</definedName>
    <definedName name="_cva32" localSheetId="8">Insumos!#REF!</definedName>
    <definedName name="_cva32">Insumos!#REF!</definedName>
    <definedName name="_cva50" localSheetId="8">Insumos!#REF!</definedName>
    <definedName name="_cva50">Insumos!#REF!</definedName>
    <definedName name="_cva60" localSheetId="8">Insumos!#REF!</definedName>
    <definedName name="_cva60">Insumos!#REF!</definedName>
    <definedName name="_cve45100" localSheetId="8">Insumos!#REF!</definedName>
    <definedName name="_cve45100">Insumos!#REF!</definedName>
    <definedName name="_cve90100" localSheetId="8">Insumos!#REF!</definedName>
    <definedName name="_cve90100">Insumos!#REF!</definedName>
    <definedName name="_cve9040" localSheetId="8">Insumos!#REF!</definedName>
    <definedName name="_cve9040">Insumos!#REF!</definedName>
    <definedName name="_djm10" localSheetId="8">Insumos!#REF!</definedName>
    <definedName name="_djm10">Insumos!#REF!</definedName>
    <definedName name="_djm15" localSheetId="8">Insumos!#REF!</definedName>
    <definedName name="_djm15">Insumos!#REF!</definedName>
    <definedName name="_epl2" localSheetId="8">Insumos!#REF!</definedName>
    <definedName name="_epl2">Insumos!#REF!</definedName>
    <definedName name="_epl5" localSheetId="8">Insumos!#REF!</definedName>
    <definedName name="_epl5">Insumos!#REF!</definedName>
    <definedName name="_est15" localSheetId="8">Insumos!#REF!</definedName>
    <definedName name="_est15">Insumos!#REF!</definedName>
    <definedName name="_fil1" localSheetId="8">Insumos!#REF!</definedName>
    <definedName name="_fil1">Insumos!#REF!</definedName>
    <definedName name="_fil2" localSheetId="8">Insumos!#REF!</definedName>
    <definedName name="_fil2">Insumos!#REF!</definedName>
    <definedName name="_xlnm._FilterDatabase" localSheetId="2" hidden="1">Insumos!$B$14:$F$143</definedName>
    <definedName name="_fio12" localSheetId="8">Insumos!#REF!</definedName>
    <definedName name="_fio12">Insumos!#REF!</definedName>
    <definedName name="_fis5" localSheetId="8">Insumos!#REF!</definedName>
    <definedName name="_fis5">Insumos!#REF!</definedName>
    <definedName name="_flf50" localSheetId="8">Insumos!#REF!</definedName>
    <definedName name="_flf50">Insumos!#REF!</definedName>
    <definedName name="_flf60" localSheetId="8">Insumos!#REF!</definedName>
    <definedName name="_flf60">Insumos!#REF!</definedName>
    <definedName name="_fpd12" localSheetId="8">Insumos!#REF!</definedName>
    <definedName name="_fpd12">Insumos!#REF!</definedName>
    <definedName name="_fvr10" localSheetId="8">Insumos!#REF!</definedName>
    <definedName name="_fvr10">Insumos!#REF!</definedName>
    <definedName name="_itu1" localSheetId="8">Insumos!#REF!</definedName>
    <definedName name="_itu1">Insumos!#REF!</definedName>
    <definedName name="_jla20" localSheetId="8">Insumos!#REF!</definedName>
    <definedName name="_jla20">Insumos!#REF!</definedName>
    <definedName name="_jla32" localSheetId="8">Insumos!#REF!</definedName>
    <definedName name="_jla32">Insumos!#REF!</definedName>
    <definedName name="_lpi100" localSheetId="8">Insumos!#REF!</definedName>
    <definedName name="_lpi100">Insumos!#REF!</definedName>
    <definedName name="_lvg10060" localSheetId="8">Insumos!#REF!</definedName>
    <definedName name="_lvg10060">Insumos!#REF!</definedName>
    <definedName name="_lvp32" localSheetId="8">Insumos!#REF!</definedName>
    <definedName name="_lvp32">Insumos!#REF!</definedName>
    <definedName name="_lxa1" localSheetId="8">#REF!</definedName>
    <definedName name="_lxa1">#REF!</definedName>
    <definedName name="_man50" localSheetId="8">Insumos!#REF!</definedName>
    <definedName name="_man50">Insumos!#REF!</definedName>
    <definedName name="_ope1" localSheetId="8">Insumos!#REF!</definedName>
    <definedName name="_ope1">Insumos!#REF!</definedName>
    <definedName name="_ope2" localSheetId="8">Insumos!#REF!</definedName>
    <definedName name="_ope2">Insumos!#REF!</definedName>
    <definedName name="_ope3" localSheetId="8">Insumos!#REF!</definedName>
    <definedName name="_ope3">Insumos!#REF!</definedName>
    <definedName name="_pne1" localSheetId="8">Insumos!#REF!</definedName>
    <definedName name="_pne1">Insumos!#REF!</definedName>
    <definedName name="_pne2" localSheetId="8">Insumos!#REF!</definedName>
    <definedName name="_pne2">Insumos!#REF!</definedName>
    <definedName name="_prg1515" localSheetId="8">Insumos!#REF!</definedName>
    <definedName name="_prg1515">Insumos!#REF!</definedName>
    <definedName name="_prg1827" localSheetId="8">Insumos!#REF!</definedName>
    <definedName name="_prg1827">Insumos!#REF!</definedName>
    <definedName name="_ptc7" localSheetId="8">#REF!</definedName>
    <definedName name="_ptc7">#REF!</definedName>
    <definedName name="_ptm6" localSheetId="8">Insumos!#REF!</definedName>
    <definedName name="_ptm6">Insumos!#REF!</definedName>
    <definedName name="_qdm3" localSheetId="8">Insumos!#REF!</definedName>
    <definedName name="_qdm3">Insumos!#REF!</definedName>
    <definedName name="_rcm10" localSheetId="8">Insumos!#REF!</definedName>
    <definedName name="_rcm10">Insumos!#REF!</definedName>
    <definedName name="_rcm15" localSheetId="8">Insumos!#REF!</definedName>
    <definedName name="_rcm15">Insumos!#REF!</definedName>
    <definedName name="_rcm20" localSheetId="8">Insumos!#REF!</definedName>
    <definedName name="_rcm20">Insumos!#REF!</definedName>
    <definedName name="_rcm5" localSheetId="8">Insumos!#REF!</definedName>
    <definedName name="_rcm5">Insumos!#REF!</definedName>
    <definedName name="_res10" localSheetId="8">Insumos!#REF!</definedName>
    <definedName name="_res10">Insumos!#REF!</definedName>
    <definedName name="_res15" localSheetId="8">Insumos!#REF!</definedName>
    <definedName name="_res15">Insumos!#REF!</definedName>
    <definedName name="_res5" localSheetId="8">Insumos!#REF!</definedName>
    <definedName name="_res5">Insumos!#REF!</definedName>
    <definedName name="_rge32" localSheetId="8">Insumos!#REF!</definedName>
    <definedName name="_rge32">Insumos!#REF!</definedName>
    <definedName name="_rgf60" localSheetId="8">Insumos!#REF!</definedName>
    <definedName name="_rgf60">Insumos!#REF!</definedName>
    <definedName name="_rgp1" localSheetId="8">Insumos!#REF!</definedName>
    <definedName name="_rgp1">Insumos!#REF!</definedName>
    <definedName name="_tap100" localSheetId="8">Insumos!#REF!</definedName>
    <definedName name="_tap100">Insumos!#REF!</definedName>
    <definedName name="_tb112" localSheetId="8">Insumos!#REF!</definedName>
    <definedName name="_tb112">Insumos!#REF!</definedName>
    <definedName name="_tb16" localSheetId="8">Insumos!#REF!</definedName>
    <definedName name="_tb16">Insumos!#REF!</definedName>
    <definedName name="_tb19" localSheetId="8">Insumos!#REF!</definedName>
    <definedName name="_tb19">Insumos!#REF!</definedName>
    <definedName name="_tba20" localSheetId="8">Insumos!#REF!</definedName>
    <definedName name="_tba20">Insumos!#REF!</definedName>
    <definedName name="_tba32" localSheetId="8">Insumos!#REF!</definedName>
    <definedName name="_tba32">Insumos!#REF!</definedName>
    <definedName name="_tba50" localSheetId="8">Insumos!#REF!</definedName>
    <definedName name="_tba50">Insumos!#REF!</definedName>
    <definedName name="_tba60" localSheetId="8">Insumos!#REF!</definedName>
    <definedName name="_tba60">Insumos!#REF!</definedName>
    <definedName name="_tbe100" localSheetId="8">Insumos!#REF!</definedName>
    <definedName name="_tbe100">Insumos!#REF!</definedName>
    <definedName name="_tbe40" localSheetId="8">Insumos!#REF!</definedName>
    <definedName name="_tbe40">Insumos!#REF!</definedName>
    <definedName name="_tbe50" localSheetId="8">Insumos!#REF!</definedName>
    <definedName name="_tbe50">Insumos!#REF!</definedName>
    <definedName name="_tca80" localSheetId="8">Insumos!#REF!</definedName>
    <definedName name="_tca80">Insumos!#REF!</definedName>
    <definedName name="_tea32" localSheetId="8">Insumos!#REF!</definedName>
    <definedName name="_tea32">Insumos!#REF!</definedName>
    <definedName name="_tea4560" localSheetId="8">Insumos!#REF!</definedName>
    <definedName name="_tea4560">Insumos!#REF!</definedName>
    <definedName name="_tee100" localSheetId="8">Insumos!#REF!</definedName>
    <definedName name="_tee100">Insumos!#REF!</definedName>
    <definedName name="_ter10050" localSheetId="8">Insumos!#REF!</definedName>
    <definedName name="_ter10050">Insumos!#REF!</definedName>
    <definedName name="_tfg50" localSheetId="8">Insumos!#REF!</definedName>
    <definedName name="_tfg50">Insumos!#REF!</definedName>
    <definedName name="_tlf6" localSheetId="8">Insumos!#REF!</definedName>
    <definedName name="_tlf6">Insumos!#REF!</definedName>
    <definedName name="_tub10012" localSheetId="8">Insumos!#REF!</definedName>
    <definedName name="_tub10012">Insumos!#REF!</definedName>
    <definedName name="_tub10015" localSheetId="8">Insumos!#REF!</definedName>
    <definedName name="_tub10015">Insumos!#REF!</definedName>
    <definedName name="_tub10020" localSheetId="8">Insumos!#REF!</definedName>
    <definedName name="_tub10020">Insumos!#REF!</definedName>
    <definedName name="_tub15012" localSheetId="8">Insumos!#REF!</definedName>
    <definedName name="_tub15012">Insumos!#REF!</definedName>
    <definedName name="_tub4012" localSheetId="8">Insumos!#REF!</definedName>
    <definedName name="_tub4012">Insumos!#REF!</definedName>
    <definedName name="_tub4015" localSheetId="8">Insumos!#REF!</definedName>
    <definedName name="_tub4015">Insumos!#REF!</definedName>
    <definedName name="_tub4020" localSheetId="8">Insumos!#REF!</definedName>
    <definedName name="_tub4020">Insumos!#REF!</definedName>
    <definedName name="_tub5012" localSheetId="8">Insumos!#REF!</definedName>
    <definedName name="_tub5012">Insumos!#REF!</definedName>
    <definedName name="_tub5015" localSheetId="8">Insumos!#REF!</definedName>
    <definedName name="_tub5015">Insumos!#REF!</definedName>
    <definedName name="_tub5020" localSheetId="8">Insumos!#REF!</definedName>
    <definedName name="_tub5020">Insumos!#REF!</definedName>
    <definedName name="_tub7512" localSheetId="8">Insumos!#REF!</definedName>
    <definedName name="_tub7512">Insumos!#REF!</definedName>
    <definedName name="_tub7515" localSheetId="8">Insumos!#REF!</definedName>
    <definedName name="_tub7515">Insumos!#REF!</definedName>
    <definedName name="_tub7520" localSheetId="8">Insumos!#REF!</definedName>
    <definedName name="_tub7520">Insumos!#REF!</definedName>
    <definedName name="acl" localSheetId="8">Insumos!#REF!</definedName>
    <definedName name="acl">Insumos!#REF!</definedName>
    <definedName name="aço" localSheetId="8">Insumos!#REF!</definedName>
    <definedName name="aço">Insumos!#REF!</definedName>
    <definedName name="ade" localSheetId="8">Insumos!#REF!</definedName>
    <definedName name="ade">Insumos!#REF!</definedName>
    <definedName name="adtimp" localSheetId="8">Insumos!#REF!</definedName>
    <definedName name="adtimp">Insumos!#REF!</definedName>
    <definedName name="afi" localSheetId="8">Insumos!#REF!</definedName>
    <definedName name="afi">Insumos!#REF!</definedName>
    <definedName name="afp" localSheetId="8">Insumos!#REF!</definedName>
    <definedName name="afp">Insumos!#REF!</definedName>
    <definedName name="agr" localSheetId="8">Insumos!#REF!</definedName>
    <definedName name="agr">Insumos!#REF!</definedName>
    <definedName name="amc" localSheetId="8">Insumos!#REF!</definedName>
    <definedName name="amc">Insumos!#REF!</definedName>
    <definedName name="amd" localSheetId="8">Insumos!#REF!</definedName>
    <definedName name="amd">Insumos!#REF!</definedName>
    <definedName name="ame" localSheetId="8">Insumos!#REF!</definedName>
    <definedName name="ame">Insumos!#REF!</definedName>
    <definedName name="amm" localSheetId="8">Insumos!#REF!</definedName>
    <definedName name="amm">Insumos!#REF!</definedName>
    <definedName name="anb" localSheetId="8">Insumos!#REF!</definedName>
    <definedName name="anb">Insumos!#REF!</definedName>
    <definedName name="apc" localSheetId="8">#REF!</definedName>
    <definedName name="apc">#REF!</definedName>
    <definedName name="apmfs" localSheetId="8">Insumos!#REF!</definedName>
    <definedName name="apmfs">Insumos!#REF!</definedName>
    <definedName name="are" localSheetId="8">Insumos!#REF!</definedName>
    <definedName name="are">Insumos!#REF!</definedName>
    <definedName name="_xlnm.Print_Area" localSheetId="1">CPU!$A$1:$J$1176</definedName>
    <definedName name="_xlnm.Print_Area" localSheetId="2">Insumos!$B$2:$F$143</definedName>
    <definedName name="_xlnm.Print_Area" localSheetId="4">'Mem. Cálc.'!$A$1:$J$121</definedName>
    <definedName name="_xlnm.Print_Area" localSheetId="8">'PO-I'!$B$2:$H$56</definedName>
    <definedName name="_xlnm.Print_Area" localSheetId="0">Serviços!$B$2:$H$55</definedName>
    <definedName name="_xlnm.Print_Area" localSheetId="7">Veiculo!$A$1:$E$57</definedName>
    <definedName name="B320I" localSheetId="8">#REF!</definedName>
    <definedName name="B320I">#REF!</definedName>
    <definedName name="B320P" localSheetId="8">#REF!</definedName>
    <definedName name="B320P">#REF!</definedName>
    <definedName name="B500I" localSheetId="8">#REF!</definedName>
    <definedName name="B500I">#REF!</definedName>
    <definedName name="B500P" localSheetId="8">#REF!</definedName>
    <definedName name="B500P">#REF!</definedName>
    <definedName name="bcc10.10" localSheetId="8">Insumos!#REF!</definedName>
    <definedName name="bcc10.10">Insumos!#REF!</definedName>
    <definedName name="bcc10.20" localSheetId="8">Insumos!#REF!</definedName>
    <definedName name="bcc10.20">Insumos!#REF!</definedName>
    <definedName name="bcc4.5" localSheetId="8">Insumos!#REF!</definedName>
    <definedName name="bcc4.5">Insumos!#REF!</definedName>
    <definedName name="bcc5.10" localSheetId="8">Insumos!#REF!</definedName>
    <definedName name="bcc5.10">Insumos!#REF!</definedName>
    <definedName name="bcc5.15" localSheetId="8">Insumos!#REF!</definedName>
    <definedName name="bcc5.15">Insumos!#REF!</definedName>
    <definedName name="bcc5.20" localSheetId="8">Insumos!#REF!</definedName>
    <definedName name="bcc5.20">Insumos!#REF!</definedName>
    <definedName name="bcc5.5" localSheetId="8">Insumos!#REF!</definedName>
    <definedName name="bcc5.5">Insumos!#REF!</definedName>
    <definedName name="bcc6.10" localSheetId="8">Insumos!#REF!</definedName>
    <definedName name="bcc6.10">Insumos!#REF!</definedName>
    <definedName name="bcc6.15" localSheetId="8">Insumos!#REF!</definedName>
    <definedName name="bcc6.15">Insumos!#REF!</definedName>
    <definedName name="bcc6.20" localSheetId="8">Insumos!#REF!</definedName>
    <definedName name="bcc6.20">Insumos!#REF!</definedName>
    <definedName name="bcc6.5" localSheetId="8">Insumos!#REF!</definedName>
    <definedName name="bcc6.5">Insumos!#REF!</definedName>
    <definedName name="bcc8.10" localSheetId="8">Insumos!#REF!</definedName>
    <definedName name="bcc8.10">Insumos!#REF!</definedName>
    <definedName name="bcc8.15" localSheetId="8">Insumos!#REF!</definedName>
    <definedName name="bcc8.15">Insumos!#REF!</definedName>
    <definedName name="bcc8.20" localSheetId="8">Insumos!#REF!</definedName>
    <definedName name="bcc8.20">Insumos!#REF!</definedName>
    <definedName name="bcc8.5" localSheetId="8">Insumos!#REF!</definedName>
    <definedName name="bcc8.5">Insumos!#REF!</definedName>
    <definedName name="bcf" localSheetId="8">Insumos!#REF!</definedName>
    <definedName name="bcf">Insumos!#REF!</definedName>
    <definedName name="bcp" localSheetId="8">Insumos!#REF!</definedName>
    <definedName name="bcp">Insumos!#REF!</definedName>
    <definedName name="BDI">Insumos!$D$8</definedName>
    <definedName name="BDIE">[1]Insumos!$D$5</definedName>
    <definedName name="bet">Insumos!$D$85</definedName>
    <definedName name="bomp2" localSheetId="8">Insumos!#REF!</definedName>
    <definedName name="bomp2">Insumos!#REF!</definedName>
    <definedName name="BPF" localSheetId="8">#REF!</definedName>
    <definedName name="BPF">#REF!</definedName>
    <definedName name="CA15I" localSheetId="8">#REF!</definedName>
    <definedName name="CA15I">#REF!</definedName>
    <definedName name="CA15P" localSheetId="8">#REF!</definedName>
    <definedName name="CA15P">#REF!</definedName>
    <definedName name="CA25I" localSheetId="8">#REF!</definedName>
    <definedName name="CA25I">#REF!</definedName>
    <definedName name="CA25P" localSheetId="8">#REF!</definedName>
    <definedName name="CA25P">#REF!</definedName>
    <definedName name="caba1_0" localSheetId="8">#REF!</definedName>
    <definedName name="caba1_0">#REF!</definedName>
    <definedName name="caba4" localSheetId="8">#REF!</definedName>
    <definedName name="caba4">#REF!</definedName>
    <definedName name="cal" localSheetId="8">Insumos!#REF!</definedName>
    <definedName name="cal">Insumos!#REF!</definedName>
    <definedName name="calpi" localSheetId="8">Insumos!#REF!</definedName>
    <definedName name="calpi">Insumos!#REF!</definedName>
    <definedName name="camp" localSheetId="8">Insumos!#REF!</definedName>
    <definedName name="camp">Insumos!#REF!</definedName>
    <definedName name="CB10I" localSheetId="8">#REF!</definedName>
    <definedName name="CB10I">#REF!</definedName>
    <definedName name="CB10P" localSheetId="8">#REF!</definedName>
    <definedName name="CB10P">#REF!</definedName>
    <definedName name="CB4I" localSheetId="8">#REF!</definedName>
    <definedName name="CB4I">#REF!</definedName>
    <definedName name="CB4P" localSheetId="8">#REF!</definedName>
    <definedName name="CB4P">#REF!</definedName>
    <definedName name="CB6.5I" localSheetId="8">#REF!</definedName>
    <definedName name="CB6.5I">#REF!</definedName>
    <definedName name="CB6.5P" localSheetId="8">#REF!</definedName>
    <definedName name="CB6.5P">#REF!</definedName>
    <definedName name="CB6I" localSheetId="8">#REF!</definedName>
    <definedName name="CB6I">#REF!</definedName>
    <definedName name="CB6P" localSheetId="8">#REF!</definedName>
    <definedName name="CB6P">#REF!</definedName>
    <definedName name="cbas" localSheetId="8">Insumos!#REF!</definedName>
    <definedName name="cbas">Insumos!#REF!</definedName>
    <definedName name="ccp" localSheetId="8">Insumos!#REF!</definedName>
    <definedName name="ccp">Insumos!#REF!</definedName>
    <definedName name="cds" localSheetId="8">Insumos!#REF!</definedName>
    <definedName name="cds">Insumos!#REF!</definedName>
    <definedName name="cec20x20" localSheetId="8">Insumos!#REF!</definedName>
    <definedName name="cec20x20">Insumos!#REF!</definedName>
    <definedName name="cer1_2" localSheetId="8">Insumos!#REF!</definedName>
    <definedName name="cer1_2">Insumos!#REF!</definedName>
    <definedName name="chaf" localSheetId="8">Insumos!#REF!</definedName>
    <definedName name="chaf">Insumos!#REF!</definedName>
    <definedName name="cib" localSheetId="8">Insumos!#REF!</definedName>
    <definedName name="cib">Insumos!#REF!</definedName>
    <definedName name="cim" localSheetId="8">Insumos!#REF!</definedName>
    <definedName name="cim">Insumos!#REF!</definedName>
    <definedName name="cim_5" localSheetId="8">#REF!</definedName>
    <definedName name="cim_5">#REF!</definedName>
    <definedName name="clp" localSheetId="8">Insumos!#REF!</definedName>
    <definedName name="clp">Insumos!#REF!</definedName>
    <definedName name="clr1_2" localSheetId="8">Insumos!#REF!</definedName>
    <definedName name="clr1_2">Insumos!#REF!</definedName>
    <definedName name="CM9I" localSheetId="8">#REF!</definedName>
    <definedName name="CM9I">#REF!</definedName>
    <definedName name="CM9P" localSheetId="8">#REF!</definedName>
    <definedName name="CM9P">#REF!</definedName>
    <definedName name="comp" localSheetId="8">Insumos!#REF!</definedName>
    <definedName name="comp">Insumos!#REF!</definedName>
    <definedName name="CPA" localSheetId="8">#REF!</definedName>
    <definedName name="CPA">#REF!</definedName>
    <definedName name="CPAF" localSheetId="8">#REF!</definedName>
    <definedName name="CPAF">#REF!</definedName>
    <definedName name="ctfa4" localSheetId="8">Insumos!#REF!</definedName>
    <definedName name="ctfa4">Insumos!#REF!</definedName>
    <definedName name="ctpvc" localSheetId="8">Insumos!#REF!</definedName>
    <definedName name="ctpvc">Insumos!#REF!</definedName>
    <definedName name="cumeeira" localSheetId="8">Insumos!#REF!</definedName>
    <definedName name="cumeeira">Insumos!#REF!</definedName>
    <definedName name="cumeira" localSheetId="8">Insumos!#REF!</definedName>
    <definedName name="cumeira">Insumos!#REF!</definedName>
    <definedName name="cxp4x2" localSheetId="8">Insumos!#REF!</definedName>
    <definedName name="cxp4x2">Insumos!#REF!</definedName>
    <definedName name="D6I" localSheetId="8">#REF!</definedName>
    <definedName name="D6I">#REF!</definedName>
    <definedName name="D6P" localSheetId="8">#REF!</definedName>
    <definedName name="D6P">#REF!</definedName>
    <definedName name="D8I" localSheetId="8">#REF!</definedName>
    <definedName name="D8I">#REF!</definedName>
    <definedName name="D8P" localSheetId="8">#REF!</definedName>
    <definedName name="D8P">#REF!</definedName>
    <definedName name="DAT">NA()</definedName>
    <definedName name="desm" localSheetId="8">Insumos!#REF!</definedName>
    <definedName name="desm">Insumos!#REF!</definedName>
    <definedName name="DIE" localSheetId="8">#REF!</definedName>
    <definedName name="DIE">#REF!</definedName>
    <definedName name="DIF" localSheetId="8">#REF!</definedName>
    <definedName name="DIF">#REF!</definedName>
    <definedName name="DIF_2" localSheetId="8">#REF!</definedName>
    <definedName name="DIF_2">#REF!</definedName>
    <definedName name="DKM" localSheetId="8">#REF!</definedName>
    <definedName name="DKM">#REF!</definedName>
    <definedName name="E" localSheetId="8">Insumos!#REF!</definedName>
    <definedName name="E">Insumos!#REF!</definedName>
    <definedName name="ecm" localSheetId="8">Insumos!#REF!</definedName>
    <definedName name="ecm">Insumos!#REF!</definedName>
    <definedName name="ele" localSheetId="8">Insumos!#REF!</definedName>
    <definedName name="ele">Insumos!#REF!</definedName>
    <definedName name="elr1_2" localSheetId="8">Insumos!#REF!</definedName>
    <definedName name="elr1_2">Insumos!#REF!</definedName>
    <definedName name="elv50x40" localSheetId="8">Insumos!#REF!</definedName>
    <definedName name="elv50x40">Insumos!#REF!</definedName>
    <definedName name="enc">Insumos!$E$14</definedName>
    <definedName name="ENC_5" localSheetId="8">#REF!</definedName>
    <definedName name="ENC_5">#REF!</definedName>
    <definedName name="ENE" localSheetId="8">#REF!</definedName>
    <definedName name="ENE">#REF!</definedName>
    <definedName name="epm2.5" localSheetId="8">Insumos!#REF!</definedName>
    <definedName name="epm2.5">Insumos!#REF!</definedName>
    <definedName name="esm" localSheetId="8">Insumos!#REF!</definedName>
    <definedName name="esm">Insumos!#REF!</definedName>
    <definedName name="est" localSheetId="8">Insumos!#REF!</definedName>
    <definedName name="est">Insumos!#REF!</definedName>
    <definedName name="est1.5_15" localSheetId="8">Insumos!#REF!</definedName>
    <definedName name="est1.5_15">Insumos!#REF!</definedName>
    <definedName name="Excel_BuiltIn__FilterDatabase_4" localSheetId="8">'PO-I'!$B$12:$H$31</definedName>
    <definedName name="Excel_BuiltIn__FilterDatabase_4">Serviços!$B$11:$H$30</definedName>
    <definedName name="Excel_BuiltIn_Print_Area_5" localSheetId="8">CPU!#REF!</definedName>
    <definedName name="Excel_BuiltIn_Print_Area_5">CPU!#REF!</definedName>
    <definedName name="fcm" localSheetId="8">Insumos!#REF!</definedName>
    <definedName name="fcm">Insumos!#REF!</definedName>
    <definedName name="fer" localSheetId="8">Insumos!#REF!</definedName>
    <definedName name="fer">Insumos!#REF!</definedName>
    <definedName name="fossa" localSheetId="8">Insumos!#REF!</definedName>
    <definedName name="fossa">Insumos!#REF!</definedName>
    <definedName name="FT" localSheetId="8">#REF!</definedName>
    <definedName name="FT">#REF!</definedName>
    <definedName name="GAS" localSheetId="8">#REF!</definedName>
    <definedName name="GAS">#REF!</definedName>
    <definedName name="gdc" localSheetId="8">Insumos!#REF!</definedName>
    <definedName name="gdc">Insumos!#REF!</definedName>
    <definedName name="gfg" localSheetId="8">Insumos!#REF!</definedName>
    <definedName name="gfg">Insumos!#REF!</definedName>
    <definedName name="ggm" localSheetId="8">Insumos!#REF!</definedName>
    <definedName name="ggm">Insumos!#REF!</definedName>
    <definedName name="graf" localSheetId="8">#REF!</definedName>
    <definedName name="graf">#REF!</definedName>
    <definedName name="GRI" localSheetId="8">#REF!</definedName>
    <definedName name="GRI">#REF!</definedName>
    <definedName name="GRP" localSheetId="8">#REF!</definedName>
    <definedName name="GRP">#REF!</definedName>
    <definedName name="grx" localSheetId="8">Insumos!#REF!</definedName>
    <definedName name="grx">Insumos!#REF!</definedName>
    <definedName name="hid1_2" localSheetId="8">Insumos!#REF!</definedName>
    <definedName name="hid1_2">Insumos!#REF!</definedName>
    <definedName name="ipf" localSheetId="8">Insumos!#REF!</definedName>
    <definedName name="ipf">Insumos!#REF!</definedName>
    <definedName name="itus1" localSheetId="8">Insumos!#REF!</definedName>
    <definedName name="itus1">Insumos!#REF!</definedName>
    <definedName name="jla1_220" localSheetId="8">Insumos!#REF!</definedName>
    <definedName name="jla1_220">Insumos!#REF!</definedName>
    <definedName name="JRS" localSheetId="8">#REF!</definedName>
    <definedName name="JRS">#REF!</definedName>
    <definedName name="lm6_3" localSheetId="8">Insumos!#REF!</definedName>
    <definedName name="lm6_3">Insumos!#REF!</definedName>
    <definedName name="lnm" localSheetId="8">Insumos!#REF!</definedName>
    <definedName name="lnm">Insumos!#REF!</definedName>
    <definedName name="lpb" localSheetId="8">Insumos!#REF!</definedName>
    <definedName name="lpb">Insumos!#REF!</definedName>
    <definedName name="LSO" localSheetId="8">Insumos!#REF!</definedName>
    <definedName name="LSO">Insumos!#REF!</definedName>
    <definedName name="lub" localSheetId="8">Insumos!#REF!</definedName>
    <definedName name="lub">Insumos!#REF!</definedName>
    <definedName name="lvg12050_1" localSheetId="8">Insumos!#REF!</definedName>
    <definedName name="lvg12050_1">Insumos!#REF!</definedName>
    <definedName name="lvp1_2" localSheetId="8">Insumos!#REF!</definedName>
    <definedName name="lvp1_2">Insumos!#REF!</definedName>
    <definedName name="lvr" localSheetId="8">Insumos!#REF!</definedName>
    <definedName name="lvr">Insumos!#REF!</definedName>
    <definedName name="lxa" localSheetId="8">Insumos!#REF!</definedName>
    <definedName name="lxa">Insumos!#REF!</definedName>
    <definedName name="lxaf" localSheetId="8">Insumos!#REF!</definedName>
    <definedName name="lxaf">Insumos!#REF!</definedName>
    <definedName name="mad" localSheetId="8">Insumos!#REF!</definedName>
    <definedName name="mad">Insumos!#REF!</definedName>
    <definedName name="map" localSheetId="8">Insumos!#REF!</definedName>
    <definedName name="map">Insumos!#REF!</definedName>
    <definedName name="mdn" localSheetId="8">Insumos!#REF!</definedName>
    <definedName name="mdn">Insumos!#REF!</definedName>
    <definedName name="MNI" localSheetId="8">#REF!</definedName>
    <definedName name="MNI">#REF!</definedName>
    <definedName name="MNP" localSheetId="8">#REF!</definedName>
    <definedName name="MNP">#REF!</definedName>
    <definedName name="mour" localSheetId="8">#REF!</definedName>
    <definedName name="mour">#REF!</definedName>
    <definedName name="mpm2.5" localSheetId="8">Insumos!#REF!</definedName>
    <definedName name="mpm2.5">Insumos!#REF!</definedName>
    <definedName name="msv" localSheetId="8">Insumos!#REF!</definedName>
    <definedName name="msv">Insumos!#REF!</definedName>
    <definedName name="niv" localSheetId="8">Insumos!#REF!</definedName>
    <definedName name="niv">Insumos!#REF!</definedName>
    <definedName name="nome">NA()</definedName>
    <definedName name="nome_2">NA()</definedName>
    <definedName name="odi" localSheetId="8">Insumos!#REF!</definedName>
    <definedName name="odi">Insumos!#REF!</definedName>
    <definedName name="ofc">NA()</definedName>
    <definedName name="ofi" localSheetId="8">Insumos!#REF!</definedName>
    <definedName name="ofi">Insumos!#REF!</definedName>
    <definedName name="OGU" localSheetId="8">#REF!</definedName>
    <definedName name="OGU">#REF!</definedName>
    <definedName name="oli" localSheetId="8">Insumos!#REF!</definedName>
    <definedName name="oli">Insumos!#REF!</definedName>
    <definedName name="pcf60x210" localSheetId="8">Insumos!#REF!</definedName>
    <definedName name="pcf60x210">Insumos!#REF!</definedName>
    <definedName name="pcf80x200" localSheetId="8">Insumos!#REF!</definedName>
    <definedName name="pcf80x200">Insumos!#REF!</definedName>
    <definedName name="pcf80x210" localSheetId="8">Insumos!#REF!</definedName>
    <definedName name="pcf80x210">Insumos!#REF!</definedName>
    <definedName name="pcfc" localSheetId="8">Insumos!#REF!</definedName>
    <definedName name="pcfc">Insumos!#REF!</definedName>
    <definedName name="pdm" localSheetId="8">Insumos!#REF!</definedName>
    <definedName name="pdm">Insumos!#REF!</definedName>
    <definedName name="pdm_5" localSheetId="8">#REF!</definedName>
    <definedName name="pdm_5">#REF!</definedName>
    <definedName name="pes" localSheetId="8">Insumos!#REF!</definedName>
    <definedName name="pes">Insumos!#REF!</definedName>
    <definedName name="pig" localSheetId="8">Insumos!#REF!</definedName>
    <definedName name="pig">Insumos!#REF!</definedName>
    <definedName name="PII" localSheetId="8">#REF!</definedName>
    <definedName name="PII">#REF!</definedName>
    <definedName name="PIP" localSheetId="8">#REF!</definedName>
    <definedName name="PIP">#REF!</definedName>
    <definedName name="plc" localSheetId="8">Insumos!#REF!</definedName>
    <definedName name="plc">Insumos!#REF!</definedName>
    <definedName name="plc2.5" localSheetId="8">Insumos!#REF!</definedName>
    <definedName name="plc2.5">Insumos!#REF!</definedName>
    <definedName name="PMS" localSheetId="8">#REF!</definedName>
    <definedName name="PMS">#REF!</definedName>
    <definedName name="pont" localSheetId="8">Insumos!#REF!</definedName>
    <definedName name="pont">Insumos!#REF!</definedName>
    <definedName name="pref">NA()</definedName>
    <definedName name="pref_2">NA()</definedName>
    <definedName name="prf" localSheetId="8">Insumos!#REF!</definedName>
    <definedName name="prf">Insumos!#REF!</definedName>
    <definedName name="prg" localSheetId="8">Insumos!#REF!</definedName>
    <definedName name="prg">Insumos!#REF!</definedName>
    <definedName name="prg_5" localSheetId="8">#REF!</definedName>
    <definedName name="prg_5">#REF!</definedName>
    <definedName name="PROJ" localSheetId="8">#REF!</definedName>
    <definedName name="PROJ">#REF!</definedName>
    <definedName name="prtm" localSheetId="8">Insumos!#REF!</definedName>
    <definedName name="prtm">Insumos!#REF!</definedName>
    <definedName name="ptt3x2" localSheetId="8">Insumos!#REF!</definedName>
    <definedName name="ptt3x2">Insumos!#REF!</definedName>
    <definedName name="qgm" localSheetId="8">Insumos!#REF!</definedName>
    <definedName name="qgm">Insumos!#REF!</definedName>
    <definedName name="rdt13.8" localSheetId="8">Insumos!#REF!</definedName>
    <definedName name="rdt13.8">Insumos!#REF!</definedName>
    <definedName name="rec" localSheetId="8">Insumos!#REF!</definedName>
    <definedName name="rec">Insumos!#REF!</definedName>
    <definedName name="RES" localSheetId="8">#REF!</definedName>
    <definedName name="RES">#REF!</definedName>
    <definedName name="rgG3_4" localSheetId="8">Insumos!#REF!</definedName>
    <definedName name="rgG3_4">Insumos!#REF!</definedName>
    <definedName name="rgp1_2" localSheetId="8">Insumos!#REF!</definedName>
    <definedName name="rgp1_2">Insumos!#REF!</definedName>
    <definedName name="RLI" localSheetId="8">#REF!</definedName>
    <definedName name="RLI">#REF!</definedName>
    <definedName name="RLP" localSheetId="8">#REF!</definedName>
    <definedName name="RLP">#REF!</definedName>
    <definedName name="RPI" localSheetId="8">#REF!</definedName>
    <definedName name="RPI">#REF!</definedName>
    <definedName name="RPP" localSheetId="8">#REF!</definedName>
    <definedName name="RPP">#REF!</definedName>
    <definedName name="s14_">Insumos!$E$57</definedName>
    <definedName name="SAL">Insumos!$D$7</definedName>
    <definedName name="seat15" localSheetId="8">Insumos!#REF!</definedName>
    <definedName name="seat15">Insumos!#REF!</definedName>
    <definedName name="sin" localSheetId="8">Insumos!#REF!</definedName>
    <definedName name="sin">Insumos!#REF!</definedName>
    <definedName name="sollimp" localSheetId="8">Insumos!#REF!</definedName>
    <definedName name="sollimp">Insumos!#REF!</definedName>
    <definedName name="srv" localSheetId="8">Insumos!#REF!</definedName>
    <definedName name="srv">Insumos!#REF!</definedName>
    <definedName name="sum" localSheetId="8">Insumos!#REF!</definedName>
    <definedName name="sum">Insumos!#REF!</definedName>
    <definedName name="svt" localSheetId="8">Insumos!#REF!</definedName>
    <definedName name="svt">Insumos!#REF!</definedName>
    <definedName name="sxo" localSheetId="8">Insumos!#REF!</definedName>
    <definedName name="sxo">Insumos!#REF!</definedName>
    <definedName name="tbv" localSheetId="8">Insumos!#REF!</definedName>
    <definedName name="tbv">Insumos!#REF!</definedName>
    <definedName name="tbv_5" localSheetId="8">#REF!</definedName>
    <definedName name="tbv_5">#REF!</definedName>
    <definedName name="ted" localSheetId="8">Insumos!#REF!</definedName>
    <definedName name="ted">Insumos!#REF!</definedName>
    <definedName name="ter" localSheetId="8">Insumos!#REF!</definedName>
    <definedName name="ter">Insumos!#REF!</definedName>
    <definedName name="tes" localSheetId="8">Insumos!#REF!</definedName>
    <definedName name="tes">Insumos!#REF!</definedName>
    <definedName name="tic">NA()</definedName>
    <definedName name="TID" localSheetId="8">#REF!</definedName>
    <definedName name="TID">#REF!</definedName>
    <definedName name="TID_2" localSheetId="8">#REF!</definedName>
    <definedName name="TID_2">#REF!</definedName>
    <definedName name="_xlnm.Print_Titles" localSheetId="1">CPU!$B:$I,CPU!$2:$5</definedName>
    <definedName name="_xlnm.Print_Titles" localSheetId="2">Insumos!$B:$F,Insumos!$2:$11</definedName>
    <definedName name="_xlnm.Print_Titles" localSheetId="4">'Mem. Cálc.'!$1:$7</definedName>
    <definedName name="_xlnm.Print_Titles" localSheetId="8">'PO-I'!$B:$H,'PO-I'!$2:$13</definedName>
    <definedName name="_xlnm.Print_Titles" localSheetId="0">Serviços!$B:$H,Serviços!$1:$12</definedName>
    <definedName name="tjc" localSheetId="8">Insumos!#REF!</definedName>
    <definedName name="tjc">Insumos!#REF!</definedName>
    <definedName name="tjf" localSheetId="8">Insumos!#REF!</definedName>
    <definedName name="tjf">Insumos!#REF!</definedName>
    <definedName name="tlc" localSheetId="8">Insumos!#REF!</definedName>
    <definedName name="tlc">Insumos!#REF!</definedName>
    <definedName name="tlf" localSheetId="8">Insumos!#REF!</definedName>
    <definedName name="tlf">Insumos!#REF!</definedName>
    <definedName name="tnp1_2" localSheetId="8">Insumos!#REF!</definedName>
    <definedName name="tnp1_2">Insumos!#REF!</definedName>
    <definedName name="tof" localSheetId="8">Insumos!#REF!</definedName>
    <definedName name="tof">Insumos!#REF!</definedName>
    <definedName name="TOT" localSheetId="8">#REF!</definedName>
    <definedName name="TOT">#REF!</definedName>
    <definedName name="TOT_2" localSheetId="8">#REF!</definedName>
    <definedName name="TOT_2">#REF!</definedName>
    <definedName name="tp6_12" localSheetId="8">Insumos!#REF!</definedName>
    <definedName name="tp6_12">Insumos!#REF!</definedName>
    <definedName name="tp6_16" localSheetId="8">Insumos!#REF!</definedName>
    <definedName name="tp6_16">Insumos!#REF!</definedName>
    <definedName name="TPI" localSheetId="8">#REF!</definedName>
    <definedName name="TPI">#REF!</definedName>
    <definedName name="tpl1_2" localSheetId="8">Insumos!#REF!</definedName>
    <definedName name="tpl1_2">Insumos!#REF!</definedName>
    <definedName name="tpmfs" localSheetId="8">Insumos!#REF!</definedName>
    <definedName name="tpmfs">Insumos!#REF!</definedName>
    <definedName name="TPP" localSheetId="8">#REF!</definedName>
    <definedName name="TPP">#REF!</definedName>
    <definedName name="trb" localSheetId="8">Insumos!#REF!</definedName>
    <definedName name="trb">Insumos!#REF!</definedName>
    <definedName name="tre" localSheetId="8">Insumos!#REF!</definedName>
    <definedName name="tre">Insumos!#REF!</definedName>
    <definedName name="ttc" localSheetId="8">Insumos!#REF!</definedName>
    <definedName name="ttc">Insumos!#REF!</definedName>
    <definedName name="tte" localSheetId="8">Insumos!#REF!</definedName>
    <definedName name="tte">Insumos!#REF!</definedName>
    <definedName name="tus" localSheetId="8">Insumos!#REF!</definedName>
    <definedName name="tus">Insumos!#REF!</definedName>
    <definedName name="tuso" localSheetId="8">Insumos!#REF!</definedName>
    <definedName name="tuso">Insumos!#REF!</definedName>
    <definedName name="USS" localSheetId="8">#REF!</definedName>
    <definedName name="USS">#REF!</definedName>
    <definedName name="v60120_" localSheetId="8">Insumos!#REF!</definedName>
    <definedName name="v60120_">Insumos!#REF!</definedName>
    <definedName name="VII" localSheetId="8">#REF!</definedName>
    <definedName name="VII">#REF!</definedName>
    <definedName name="VIP" localSheetId="8">#REF!</definedName>
    <definedName name="VIP">#REF!</definedName>
    <definedName name="VLR" localSheetId="8">#REF!</definedName>
    <definedName name="VLR">#REF!</definedName>
    <definedName name="vsb" localSheetId="8">Insumos!#REF!</definedName>
    <definedName name="vsb">Insumos!#REF!</definedName>
    <definedName name="zar" localSheetId="8">Insumos!#REF!</definedName>
    <definedName name="zar">Insumos!#REF!</definedName>
  </definedNames>
  <calcPr calcId="125725" fullPrecision="0"/>
</workbook>
</file>

<file path=xl/calcChain.xml><?xml version="1.0" encoding="utf-8"?>
<calcChain xmlns="http://schemas.openxmlformats.org/spreadsheetml/2006/main">
  <c r="F54" i="14"/>
  <c r="F53"/>
  <c r="F52"/>
  <c r="F51"/>
  <c r="F50"/>
  <c r="F49"/>
  <c r="F44"/>
  <c r="F43"/>
  <c r="F42"/>
  <c r="F40"/>
  <c r="F39"/>
  <c r="F38"/>
  <c r="F37"/>
  <c r="F36"/>
  <c r="F35"/>
  <c r="F34"/>
  <c r="F33"/>
  <c r="F32"/>
  <c r="E32"/>
  <c r="F31"/>
  <c r="F30"/>
  <c r="F29"/>
  <c r="F28"/>
  <c r="F27"/>
  <c r="F26"/>
  <c r="F24"/>
  <c r="F23"/>
  <c r="F22"/>
  <c r="F25" s="1"/>
  <c r="F16"/>
  <c r="H84" i="2"/>
  <c r="I84" s="1"/>
  <c r="I86" s="1"/>
  <c r="H21"/>
  <c r="H1158"/>
  <c r="I1158" s="1"/>
  <c r="H16"/>
  <c r="I16" s="1"/>
  <c r="H79"/>
  <c r="I79" s="1"/>
  <c r="H80"/>
  <c r="I80" s="1"/>
  <c r="H78"/>
  <c r="I78" s="1"/>
  <c r="H77"/>
  <c r="I77" s="1"/>
  <c r="G76"/>
  <c r="I76" s="1"/>
  <c r="G75"/>
  <c r="G74"/>
  <c r="I94"/>
  <c r="I93"/>
  <c r="I95" s="1"/>
  <c r="I89"/>
  <c r="I90" s="1"/>
  <c r="I85"/>
  <c r="D80"/>
  <c r="D79"/>
  <c r="D78"/>
  <c r="D77"/>
  <c r="D76"/>
  <c r="D75"/>
  <c r="D74"/>
  <c r="I74" s="1"/>
  <c r="H17"/>
  <c r="I17" s="1"/>
  <c r="H15"/>
  <c r="I15" s="1"/>
  <c r="H14"/>
  <c r="I14" s="1"/>
  <c r="D14"/>
  <c r="D15"/>
  <c r="D16"/>
  <c r="D17"/>
  <c r="G13"/>
  <c r="I13" s="1"/>
  <c r="D13"/>
  <c r="G12"/>
  <c r="I12" s="1"/>
  <c r="D12"/>
  <c r="D11"/>
  <c r="G238"/>
  <c r="I75" l="1"/>
  <c r="I251"/>
  <c r="I247"/>
  <c r="I242"/>
  <c r="I243" s="1"/>
  <c r="H268"/>
  <c r="G268"/>
  <c r="H267"/>
  <c r="G267"/>
  <c r="G266"/>
  <c r="H265"/>
  <c r="G265"/>
  <c r="H264"/>
  <c r="G264"/>
  <c r="F22" i="5"/>
  <c r="H1157" i="2"/>
  <c r="I81" l="1"/>
  <c r="I96" s="1"/>
  <c r="I97" s="1"/>
  <c r="I98" s="1"/>
  <c r="I99" s="1"/>
  <c r="I238"/>
  <c r="I239" s="1"/>
  <c r="I252" s="1"/>
  <c r="I253" s="1"/>
  <c r="I254" s="1"/>
  <c r="I255" s="1"/>
  <c r="H1168"/>
  <c r="H1167"/>
  <c r="H1166"/>
  <c r="G22" i="5" l="1"/>
  <c r="H22" s="1"/>
  <c r="I1168" i="2"/>
  <c r="I1167"/>
  <c r="I1166"/>
  <c r="I1157"/>
  <c r="I1159" s="1"/>
  <c r="I1153"/>
  <c r="I1154" s="1"/>
  <c r="I1169" l="1"/>
  <c r="F264" l="1"/>
  <c r="H280"/>
  <c r="F267"/>
  <c r="J20" i="4" l="1"/>
  <c r="J21" s="1"/>
  <c r="F23" i="5" s="1"/>
  <c r="I272" i="2"/>
  <c r="I273" s="1"/>
  <c r="I267"/>
  <c r="I266"/>
  <c r="I265"/>
  <c r="I264"/>
  <c r="D46" i="12" l="1"/>
  <c r="H1196" i="2" l="1"/>
  <c r="I1196" s="1"/>
  <c r="H1197"/>
  <c r="I1197" s="1"/>
  <c r="H1139"/>
  <c r="I1139" s="1"/>
  <c r="H704"/>
  <c r="I704" s="1"/>
  <c r="H911"/>
  <c r="I911" s="1"/>
  <c r="H791"/>
  <c r="I791" s="1"/>
  <c r="E38" i="11"/>
  <c r="E30"/>
  <c r="E17"/>
  <c r="E41" s="1"/>
  <c r="E38" i="10"/>
  <c r="E30"/>
  <c r="E17"/>
  <c r="F53" i="5"/>
  <c r="F52"/>
  <c r="F51"/>
  <c r="F50"/>
  <c r="F49"/>
  <c r="F48"/>
  <c r="F43"/>
  <c r="F42"/>
  <c r="F15"/>
  <c r="I412" i="2"/>
  <c r="I413" s="1"/>
  <c r="H408"/>
  <c r="I408" s="1"/>
  <c r="H407"/>
  <c r="I407" s="1"/>
  <c r="H406"/>
  <c r="H401"/>
  <c r="I401" s="1"/>
  <c r="I402" s="1"/>
  <c r="F88" i="6"/>
  <c r="F89"/>
  <c r="F90"/>
  <c r="F91"/>
  <c r="F92"/>
  <c r="F93"/>
  <c r="F94"/>
  <c r="H607" i="2"/>
  <c r="I607" s="1"/>
  <c r="H526"/>
  <c r="I526" s="1"/>
  <c r="I527" s="1"/>
  <c r="H374"/>
  <c r="I374" s="1"/>
  <c r="I375" s="1"/>
  <c r="H1138"/>
  <c r="I1138" s="1"/>
  <c r="H1130"/>
  <c r="I1130" s="1"/>
  <c r="I1131" s="1"/>
  <c r="I1134"/>
  <c r="I1135" s="1"/>
  <c r="I1126"/>
  <c r="I1127" s="1"/>
  <c r="H1027"/>
  <c r="I1027" s="1"/>
  <c r="H1018"/>
  <c r="I1018" s="1"/>
  <c r="I1019" s="1"/>
  <c r="I1022"/>
  <c r="I1023" s="1"/>
  <c r="I1014"/>
  <c r="I1015" s="1"/>
  <c r="J86" i="4"/>
  <c r="L86"/>
  <c r="J95"/>
  <c r="J52"/>
  <c r="J39"/>
  <c r="F31"/>
  <c r="J31"/>
  <c r="F82"/>
  <c r="J82" s="1"/>
  <c r="F63"/>
  <c r="F15"/>
  <c r="J15" s="1"/>
  <c r="J96"/>
  <c r="J53"/>
  <c r="J40"/>
  <c r="J32"/>
  <c r="G51"/>
  <c r="J51" s="1"/>
  <c r="F43"/>
  <c r="F36"/>
  <c r="F49" s="1"/>
  <c r="F13"/>
  <c r="J13" s="1"/>
  <c r="J81"/>
  <c r="H847" i="2"/>
  <c r="I847" s="1"/>
  <c r="H838"/>
  <c r="I838" s="1"/>
  <c r="I839" s="1"/>
  <c r="I842"/>
  <c r="I843" s="1"/>
  <c r="I834"/>
  <c r="I835" s="1"/>
  <c r="J101" i="4"/>
  <c r="J102"/>
  <c r="F38" i="5" s="1"/>
  <c r="F61" i="4"/>
  <c r="J61" s="1"/>
  <c r="F28"/>
  <c r="H781" i="2"/>
  <c r="I781" s="1"/>
  <c r="H780"/>
  <c r="I780" s="1"/>
  <c r="H782"/>
  <c r="I782" s="1"/>
  <c r="H783"/>
  <c r="I783" s="1"/>
  <c r="I76" i="4"/>
  <c r="H1112" i="2"/>
  <c r="I1112" s="1"/>
  <c r="I1113" s="1"/>
  <c r="H1104"/>
  <c r="I1104" s="1"/>
  <c r="H1103"/>
  <c r="I1103" s="1"/>
  <c r="H1102"/>
  <c r="I1102" s="1"/>
  <c r="H1101"/>
  <c r="I1101" s="1"/>
  <c r="H1097"/>
  <c r="I1097" s="1"/>
  <c r="I1098" s="1"/>
  <c r="J112" i="4"/>
  <c r="H690" i="2"/>
  <c r="I690" s="1"/>
  <c r="H694"/>
  <c r="I694" s="1"/>
  <c r="J72" i="4"/>
  <c r="J73" s="1"/>
  <c r="H462" i="2"/>
  <c r="I462" s="1"/>
  <c r="H463"/>
  <c r="I463" s="1"/>
  <c r="H471"/>
  <c r="I471" s="1"/>
  <c r="I472" s="1"/>
  <c r="I458"/>
  <c r="I459" s="1"/>
  <c r="I467"/>
  <c r="I468" s="1"/>
  <c r="H706"/>
  <c r="I706" s="1"/>
  <c r="H603"/>
  <c r="I603" s="1"/>
  <c r="I604" s="1"/>
  <c r="H930"/>
  <c r="I930" s="1"/>
  <c r="I931" s="1"/>
  <c r="H896"/>
  <c r="I896" s="1"/>
  <c r="I938"/>
  <c r="I939" s="1"/>
  <c r="H898"/>
  <c r="I898" s="1"/>
  <c r="H897"/>
  <c r="I897" s="1"/>
  <c r="H903"/>
  <c r="I903" s="1"/>
  <c r="H902"/>
  <c r="I902" s="1"/>
  <c r="H901"/>
  <c r="I901" s="1"/>
  <c r="H900"/>
  <c r="I900" s="1"/>
  <c r="H899"/>
  <c r="I899" s="1"/>
  <c r="H895"/>
  <c r="I895" s="1"/>
  <c r="H891"/>
  <c r="I891" s="1"/>
  <c r="I892" s="1"/>
  <c r="H957"/>
  <c r="I957" s="1"/>
  <c r="H962"/>
  <c r="I962" s="1"/>
  <c r="D10" i="12"/>
  <c r="H973" i="2"/>
  <c r="I973" s="1"/>
  <c r="H961"/>
  <c r="I961" s="1"/>
  <c r="H960"/>
  <c r="I960" s="1"/>
  <c r="I1182"/>
  <c r="I1183" s="1"/>
  <c r="H952"/>
  <c r="I952" s="1"/>
  <c r="I953" s="1"/>
  <c r="H959"/>
  <c r="I959" s="1"/>
  <c r="H958"/>
  <c r="I958" s="1"/>
  <c r="H956"/>
  <c r="I956" s="1"/>
  <c r="H963"/>
  <c r="I963" s="1"/>
  <c r="F22" i="6"/>
  <c r="I967" i="2"/>
  <c r="I968" s="1"/>
  <c r="H1188"/>
  <c r="I1188" s="1"/>
  <c r="H1187"/>
  <c r="I1187" s="1"/>
  <c r="H1186"/>
  <c r="I1186" s="1"/>
  <c r="I1192"/>
  <c r="I1193" s="1"/>
  <c r="I1108"/>
  <c r="I1109" s="1"/>
  <c r="H1074"/>
  <c r="I1074" s="1"/>
  <c r="H1083"/>
  <c r="I1083" s="1"/>
  <c r="H1082"/>
  <c r="I1082" s="1"/>
  <c r="H1073"/>
  <c r="I1073" s="1"/>
  <c r="H1072"/>
  <c r="I1072" s="1"/>
  <c r="F21" i="6"/>
  <c r="I1078" i="2"/>
  <c r="I1079" s="1"/>
  <c r="I1068"/>
  <c r="I1069" s="1"/>
  <c r="H1054"/>
  <c r="I1054" s="1"/>
  <c r="H1053"/>
  <c r="I1053" s="1"/>
  <c r="H1045"/>
  <c r="I1045" s="1"/>
  <c r="I1046" s="1"/>
  <c r="I1049"/>
  <c r="I1050" s="1"/>
  <c r="I1041"/>
  <c r="I1042" s="1"/>
  <c r="H1000"/>
  <c r="I1000" s="1"/>
  <c r="H991"/>
  <c r="I991" s="1"/>
  <c r="I992" s="1"/>
  <c r="I995"/>
  <c r="I996" s="1"/>
  <c r="I987"/>
  <c r="I988" s="1"/>
  <c r="J62" i="4"/>
  <c r="J60"/>
  <c r="I934" i="2"/>
  <c r="I935" s="1"/>
  <c r="I926"/>
  <c r="I927" s="1"/>
  <c r="I907"/>
  <c r="I908" s="1"/>
  <c r="G49" i="4"/>
  <c r="J68"/>
  <c r="J69" s="1"/>
  <c r="H431" i="2"/>
  <c r="I431" s="1"/>
  <c r="H430"/>
  <c r="I430" s="1"/>
  <c r="H435"/>
  <c r="I435" s="1"/>
  <c r="I436" s="1"/>
  <c r="H444"/>
  <c r="I444" s="1"/>
  <c r="H443"/>
  <c r="I443" s="1"/>
  <c r="H663"/>
  <c r="I663" s="1"/>
  <c r="H223"/>
  <c r="I223" s="1"/>
  <c r="H215"/>
  <c r="I215" s="1"/>
  <c r="H485"/>
  <c r="I485" s="1"/>
  <c r="I486" s="1"/>
  <c r="H508"/>
  <c r="I508" s="1"/>
  <c r="H507"/>
  <c r="I507" s="1"/>
  <c r="H506"/>
  <c r="I506" s="1"/>
  <c r="H505"/>
  <c r="I505" s="1"/>
  <c r="F20" i="6"/>
  <c r="F23" s="1"/>
  <c r="H497" i="2"/>
  <c r="I497" s="1"/>
  <c r="H496"/>
  <c r="I496" s="1"/>
  <c r="H495"/>
  <c r="I495" s="1"/>
  <c r="H494"/>
  <c r="I494" s="1"/>
  <c r="H493"/>
  <c r="I493" s="1"/>
  <c r="H492"/>
  <c r="I492" s="1"/>
  <c r="H490"/>
  <c r="I490" s="1"/>
  <c r="H491"/>
  <c r="I491" s="1"/>
  <c r="H489"/>
  <c r="I489" s="1"/>
  <c r="I501"/>
  <c r="I502" s="1"/>
  <c r="H865"/>
  <c r="I865" s="1"/>
  <c r="H877"/>
  <c r="I877" s="1"/>
  <c r="H868"/>
  <c r="I868" s="1"/>
  <c r="H867"/>
  <c r="I867" s="1"/>
  <c r="H866"/>
  <c r="I866" s="1"/>
  <c r="I872"/>
  <c r="I873" s="1"/>
  <c r="I861"/>
  <c r="I862" s="1"/>
  <c r="H820"/>
  <c r="I820" s="1"/>
  <c r="H819"/>
  <c r="I819" s="1"/>
  <c r="H811"/>
  <c r="I811" s="1"/>
  <c r="H810"/>
  <c r="I810" s="1"/>
  <c r="I806"/>
  <c r="I807" s="1"/>
  <c r="H792"/>
  <c r="I792" s="1"/>
  <c r="I787"/>
  <c r="I788" s="1"/>
  <c r="I776"/>
  <c r="I777" s="1"/>
  <c r="H762"/>
  <c r="I762" s="1"/>
  <c r="H753"/>
  <c r="I753" s="1"/>
  <c r="H752"/>
  <c r="I752" s="1"/>
  <c r="I757"/>
  <c r="I758" s="1"/>
  <c r="I748"/>
  <c r="I749" s="1"/>
  <c r="H734"/>
  <c r="I734" s="1"/>
  <c r="H725"/>
  <c r="I725" s="1"/>
  <c r="H724"/>
  <c r="I724" s="1"/>
  <c r="I729"/>
  <c r="I730" s="1"/>
  <c r="I720"/>
  <c r="I721" s="1"/>
  <c r="I674"/>
  <c r="H664"/>
  <c r="I664" s="1"/>
  <c r="H662"/>
  <c r="I662" s="1"/>
  <c r="H660"/>
  <c r="I660" s="1"/>
  <c r="H661"/>
  <c r="I661" s="1"/>
  <c r="H673"/>
  <c r="I673" s="1"/>
  <c r="H672"/>
  <c r="I672" s="1"/>
  <c r="H689"/>
  <c r="I689" s="1"/>
  <c r="H696"/>
  <c r="I696" s="1"/>
  <c r="H695"/>
  <c r="I695" s="1"/>
  <c r="H705"/>
  <c r="I705" s="1"/>
  <c r="I700"/>
  <c r="I701" s="1"/>
  <c r="I406"/>
  <c r="H416"/>
  <c r="I416" s="1"/>
  <c r="H405"/>
  <c r="I405" s="1"/>
  <c r="I675"/>
  <c r="I656"/>
  <c r="I657" s="1"/>
  <c r="H642"/>
  <c r="I642" s="1"/>
  <c r="H634"/>
  <c r="I634" s="1"/>
  <c r="I635" s="1"/>
  <c r="I630"/>
  <c r="I631" s="1"/>
  <c r="H616"/>
  <c r="I616" s="1"/>
  <c r="I617" s="1"/>
  <c r="H608"/>
  <c r="I608" s="1"/>
  <c r="F42" i="6"/>
  <c r="I613" i="2"/>
  <c r="H589"/>
  <c r="I589" s="1"/>
  <c r="H588"/>
  <c r="I588" s="1"/>
  <c r="I580"/>
  <c r="I581" s="1"/>
  <c r="I576"/>
  <c r="I577" s="1"/>
  <c r="I638"/>
  <c r="I639" s="1"/>
  <c r="H378"/>
  <c r="I378" s="1"/>
  <c r="H553"/>
  <c r="I553" s="1"/>
  <c r="H562"/>
  <c r="I562" s="1"/>
  <c r="I563" s="1"/>
  <c r="H554"/>
  <c r="I554" s="1"/>
  <c r="I559"/>
  <c r="I549"/>
  <c r="I550" s="1"/>
  <c r="H535"/>
  <c r="I535" s="1"/>
  <c r="H534"/>
  <c r="I534" s="1"/>
  <c r="I522"/>
  <c r="I523" s="1"/>
  <c r="J120" i="4"/>
  <c r="J117"/>
  <c r="J113"/>
  <c r="J111"/>
  <c r="J107"/>
  <c r="J106"/>
  <c r="J105"/>
  <c r="J108" s="1"/>
  <c r="J94"/>
  <c r="J93"/>
  <c r="J89"/>
  <c r="F36" i="5" s="1"/>
  <c r="J80" i="4"/>
  <c r="F78"/>
  <c r="J78" s="1"/>
  <c r="I77"/>
  <c r="J77" s="1"/>
  <c r="J76"/>
  <c r="J64"/>
  <c r="J63"/>
  <c r="J57"/>
  <c r="J50"/>
  <c r="J45"/>
  <c r="J43"/>
  <c r="G38"/>
  <c r="J38" s="1"/>
  <c r="J37"/>
  <c r="G30"/>
  <c r="F29"/>
  <c r="J29" s="1"/>
  <c r="J16"/>
  <c r="J28"/>
  <c r="F12"/>
  <c r="F41" s="1"/>
  <c r="J41" s="1"/>
  <c r="J9"/>
  <c r="H379" i="2"/>
  <c r="I379" s="1"/>
  <c r="H387"/>
  <c r="I387" s="1"/>
  <c r="I384"/>
  <c r="H360"/>
  <c r="I360" s="1"/>
  <c r="H359"/>
  <c r="I359" s="1"/>
  <c r="I347"/>
  <c r="I348" s="1"/>
  <c r="F43" i="6"/>
  <c r="H333" i="2"/>
  <c r="I333" s="1"/>
  <c r="I329"/>
  <c r="I330" s="1"/>
  <c r="I326"/>
  <c r="H307"/>
  <c r="I307" s="1"/>
  <c r="I303"/>
  <c r="I304" s="1"/>
  <c r="I300"/>
  <c r="I295"/>
  <c r="I294"/>
  <c r="H193"/>
  <c r="I193" s="1"/>
  <c r="I194" s="1"/>
  <c r="I189"/>
  <c r="I190" s="1"/>
  <c r="I185"/>
  <c r="I186" s="1"/>
  <c r="I181"/>
  <c r="I182" s="1"/>
  <c r="E31" i="5"/>
  <c r="H214" i="2"/>
  <c r="I214" s="1"/>
  <c r="H213"/>
  <c r="I213" s="1"/>
  <c r="H212"/>
  <c r="I212" s="1"/>
  <c r="H224"/>
  <c r="H115"/>
  <c r="I115" s="1"/>
  <c r="F60" i="6"/>
  <c r="F62" s="1"/>
  <c r="D35" i="12"/>
  <c r="D27"/>
  <c r="D32" s="1"/>
  <c r="D24"/>
  <c r="D14"/>
  <c r="H167" i="2"/>
  <c r="I167" s="1"/>
  <c r="H166"/>
  <c r="I166" s="1"/>
  <c r="I207"/>
  <c r="I208"/>
  <c r="D18" i="12"/>
  <c r="I108" i="2"/>
  <c r="I109" s="1"/>
  <c r="H112"/>
  <c r="I112" s="1"/>
  <c r="H113"/>
  <c r="H114"/>
  <c r="I114" s="1"/>
  <c r="H116"/>
  <c r="I116" s="1"/>
  <c r="H117"/>
  <c r="I117" s="1"/>
  <c r="H118"/>
  <c r="I118" s="1"/>
  <c r="H119"/>
  <c r="I119" s="1"/>
  <c r="H120"/>
  <c r="I120" s="1"/>
  <c r="H59"/>
  <c r="I59" s="1"/>
  <c r="H60"/>
  <c r="I60" s="1"/>
  <c r="D17" i="1"/>
  <c r="C31" s="1"/>
  <c r="C32" s="1"/>
  <c r="D35"/>
  <c r="D39"/>
  <c r="D41"/>
  <c r="G11" i="2"/>
  <c r="I11" s="1"/>
  <c r="I18" s="1"/>
  <c r="I21"/>
  <c r="I22"/>
  <c r="I26"/>
  <c r="I27" s="1"/>
  <c r="I30"/>
  <c r="I31"/>
  <c r="H48"/>
  <c r="I48" s="1"/>
  <c r="H49"/>
  <c r="I49" s="1"/>
  <c r="H50"/>
  <c r="I50" s="1"/>
  <c r="H51"/>
  <c r="I51" s="1"/>
  <c r="H121"/>
  <c r="I277" s="1"/>
  <c r="H122"/>
  <c r="I122" s="1"/>
  <c r="H123"/>
  <c r="I123" s="1"/>
  <c r="H124"/>
  <c r="I124" s="1"/>
  <c r="H125"/>
  <c r="I125" s="1"/>
  <c r="H126"/>
  <c r="I126" s="1"/>
  <c r="H127"/>
  <c r="I127" s="1"/>
  <c r="H128"/>
  <c r="I128" s="1"/>
  <c r="I132"/>
  <c r="I133" s="1"/>
  <c r="H136"/>
  <c r="I136" s="1"/>
  <c r="H137"/>
  <c r="I137" s="1"/>
  <c r="H155"/>
  <c r="I155" s="1"/>
  <c r="H156"/>
  <c r="I156" s="1"/>
  <c r="I157"/>
  <c r="I162"/>
  <c r="I163" s="1"/>
  <c r="C167"/>
  <c r="I219"/>
  <c r="I220" s="1"/>
  <c r="H912"/>
  <c r="I912" s="1"/>
  <c r="F61" i="6"/>
  <c r="F63" s="1"/>
  <c r="C64"/>
  <c r="C65"/>
  <c r="F87"/>
  <c r="I321" i="2"/>
  <c r="I322" s="1"/>
  <c r="J42" i="4"/>
  <c r="J14"/>
  <c r="J44"/>
  <c r="J114"/>
  <c r="F41" i="5" s="1"/>
  <c r="I351" i="2"/>
  <c r="I352" s="1"/>
  <c r="J30" i="4"/>
  <c r="F92"/>
  <c r="J92" s="1"/>
  <c r="J97" s="1"/>
  <c r="F79"/>
  <c r="J79" s="1"/>
  <c r="J49" l="1"/>
  <c r="J54" s="1"/>
  <c r="J12"/>
  <c r="I296" i="2"/>
  <c r="I113"/>
  <c r="I268"/>
  <c r="I269" s="1"/>
  <c r="I224"/>
  <c r="I280"/>
  <c r="I281" s="1"/>
  <c r="I282" s="1"/>
  <c r="I283" s="1"/>
  <c r="I284" s="1"/>
  <c r="I285" s="1"/>
  <c r="G23" i="5" s="1"/>
  <c r="H23" s="1"/>
  <c r="I121" i="2"/>
  <c r="E18" i="1"/>
  <c r="E19"/>
  <c r="J83" i="4"/>
  <c r="J36"/>
  <c r="J46" s="1"/>
  <c r="H999" i="2"/>
  <c r="I999" s="1"/>
  <c r="I1001" s="1"/>
  <c r="I1002" s="1"/>
  <c r="I1003" s="1"/>
  <c r="I1004" s="1"/>
  <c r="I1005" s="1"/>
  <c r="G49" i="5" s="1"/>
  <c r="H49" s="1"/>
  <c r="H1026" i="2"/>
  <c r="I1026" s="1"/>
  <c r="D40" i="12"/>
  <c r="D47" s="1"/>
  <c r="F96" i="6"/>
  <c r="F98" s="1"/>
  <c r="F95"/>
  <c r="H972" i="2"/>
  <c r="I972" s="1"/>
  <c r="H761"/>
  <c r="I761" s="1"/>
  <c r="I763" s="1"/>
  <c r="I498"/>
  <c r="H733"/>
  <c r="I733" s="1"/>
  <c r="I735" s="1"/>
  <c r="H846"/>
  <c r="I846" s="1"/>
  <c r="I848" s="1"/>
  <c r="I849" s="1"/>
  <c r="I850" s="1"/>
  <c r="I851" s="1"/>
  <c r="I852" s="1"/>
  <c r="G38" i="5" s="1"/>
  <c r="H38" s="1"/>
  <c r="J33" i="4"/>
  <c r="F27" i="5" s="1"/>
  <c r="I555" i="2"/>
  <c r="I564" s="1"/>
  <c r="E41" i="10"/>
  <c r="J65" i="4"/>
  <c r="N74" s="1"/>
  <c r="J17"/>
  <c r="H971" i="2"/>
  <c r="I971" s="1"/>
  <c r="H876"/>
  <c r="I876" s="1"/>
  <c r="E42" i="11"/>
  <c r="E43" s="1"/>
  <c r="E45" s="1"/>
  <c r="E42" i="10"/>
  <c r="E43" s="1"/>
  <c r="E45" s="1"/>
  <c r="F37" i="5"/>
  <c r="F34"/>
  <c r="F25"/>
  <c r="E20" i="1"/>
  <c r="E27"/>
  <c r="D43" s="1"/>
  <c r="F97" i="6"/>
  <c r="F64"/>
  <c r="G24" i="4"/>
  <c r="F33" i="5"/>
  <c r="F35"/>
  <c r="F39"/>
  <c r="F21"/>
  <c r="F24" s="1"/>
  <c r="F30"/>
  <c r="F32"/>
  <c r="I913" i="2"/>
  <c r="I940"/>
  <c r="I941" s="1"/>
  <c r="I942" s="1"/>
  <c r="I943" s="1"/>
  <c r="G45" i="5" s="1"/>
  <c r="H45" s="1"/>
  <c r="I195" i="2"/>
  <c r="I196" s="1"/>
  <c r="I197" s="1"/>
  <c r="I198" s="1"/>
  <c r="G21" i="5" s="1"/>
  <c r="I609" i="2"/>
  <c r="I618" s="1"/>
  <c r="I23"/>
  <c r="I754"/>
  <c r="I812"/>
  <c r="I821"/>
  <c r="I697"/>
  <c r="I691"/>
  <c r="I726"/>
  <c r="I793"/>
  <c r="I665"/>
  <c r="I904"/>
  <c r="I1105"/>
  <c r="I1114" s="1"/>
  <c r="I1115" s="1"/>
  <c r="I1116" s="1"/>
  <c r="I1117" s="1"/>
  <c r="G54" i="5" s="1"/>
  <c r="H54" s="1"/>
  <c r="I52" i="2"/>
  <c r="I1028"/>
  <c r="I1029" s="1"/>
  <c r="I1030" s="1"/>
  <c r="I1031" s="1"/>
  <c r="I1032" s="1"/>
  <c r="G50" i="5" s="1"/>
  <c r="H50" s="1"/>
  <c r="I159" i="2"/>
  <c r="I32"/>
  <c r="I33" s="1"/>
  <c r="I34" s="1"/>
  <c r="I35" s="1"/>
  <c r="I36" s="1"/>
  <c r="G14" i="5" s="1"/>
  <c r="H14" s="1"/>
  <c r="G16"/>
  <c r="H16" s="1"/>
  <c r="I209" i="2"/>
  <c r="I225"/>
  <c r="I1189"/>
  <c r="I409"/>
  <c r="I869"/>
  <c r="I464"/>
  <c r="I473" s="1"/>
  <c r="I474" s="1"/>
  <c r="I475" s="1"/>
  <c r="I476" s="1"/>
  <c r="G33" i="5" s="1"/>
  <c r="I1055" i="2"/>
  <c r="I1056" s="1"/>
  <c r="I1057" s="1"/>
  <c r="I1058" s="1"/>
  <c r="I1059" s="1"/>
  <c r="G52" i="5" s="1"/>
  <c r="H52" s="1"/>
  <c r="I334" i="2"/>
  <c r="I335" s="1"/>
  <c r="I336" s="1"/>
  <c r="I337" s="1"/>
  <c r="I338" s="1"/>
  <c r="G26" i="5" s="1"/>
  <c r="I388" i="2"/>
  <c r="I643"/>
  <c r="I644" s="1"/>
  <c r="I645" s="1"/>
  <c r="I646" s="1"/>
  <c r="I647" s="1"/>
  <c r="G30" i="5" s="1"/>
  <c r="H30" s="1"/>
  <c r="I509" i="2"/>
  <c r="I445"/>
  <c r="I1084"/>
  <c r="I168"/>
  <c r="I216"/>
  <c r="I361"/>
  <c r="I380"/>
  <c r="I590"/>
  <c r="I432"/>
  <c r="I1075"/>
  <c r="I964"/>
  <c r="I784"/>
  <c r="I707"/>
  <c r="I1140"/>
  <c r="I1141" s="1"/>
  <c r="I1142" s="1"/>
  <c r="I1143" s="1"/>
  <c r="I1144" s="1"/>
  <c r="G51" i="5" s="1"/>
  <c r="H51" s="1"/>
  <c r="I878" i="2"/>
  <c r="I138"/>
  <c r="I61"/>
  <c r="I129"/>
  <c r="I308"/>
  <c r="I309" s="1"/>
  <c r="I310" s="1"/>
  <c r="I311" s="1"/>
  <c r="I312" s="1"/>
  <c r="G25" i="5" s="1"/>
  <c r="I536" i="2"/>
  <c r="I417"/>
  <c r="I676"/>
  <c r="I1198"/>
  <c r="I974" l="1"/>
  <c r="F29" i="5"/>
  <c r="H33"/>
  <c r="H21"/>
  <c r="E17" i="1"/>
  <c r="D37" s="1"/>
  <c r="I879" i="2"/>
  <c r="I880" s="1"/>
  <c r="I881" s="1"/>
  <c r="I882" s="1"/>
  <c r="G43" i="5" s="1"/>
  <c r="H43" s="1"/>
  <c r="D51" i="12"/>
  <c r="D55"/>
  <c r="F31" i="5"/>
  <c r="I736" i="2"/>
  <c r="I737" s="1"/>
  <c r="I738" s="1"/>
  <c r="I739" s="1"/>
  <c r="G37" i="5" s="1"/>
  <c r="H37" s="1"/>
  <c r="I418" i="2"/>
  <c r="I419" s="1"/>
  <c r="I420" s="1"/>
  <c r="I421" s="1"/>
  <c r="I139"/>
  <c r="I140" s="1"/>
  <c r="I141" s="1"/>
  <c r="I142" s="1"/>
  <c r="G17" i="5" s="1"/>
  <c r="H17" s="1"/>
  <c r="I510" i="2"/>
  <c r="I511" s="1"/>
  <c r="I512" s="1"/>
  <c r="I513" s="1"/>
  <c r="I794"/>
  <c r="I795" s="1"/>
  <c r="I796" s="1"/>
  <c r="I797" s="1"/>
  <c r="G41" i="5" s="1"/>
  <c r="H41" s="1"/>
  <c r="I914" i="2"/>
  <c r="I915" s="1"/>
  <c r="I916" s="1"/>
  <c r="I917" s="1"/>
  <c r="G44" i="5" s="1"/>
  <c r="H44" s="1"/>
  <c r="I1199" i="2"/>
  <c r="I1200" s="1"/>
  <c r="I1201" s="1"/>
  <c r="I1202" s="1"/>
  <c r="G48" i="5" s="1"/>
  <c r="H48" s="1"/>
  <c r="I708" i="2"/>
  <c r="I709" s="1"/>
  <c r="I710" s="1"/>
  <c r="I711" s="1"/>
  <c r="I764"/>
  <c r="I765" s="1"/>
  <c r="I766" s="1"/>
  <c r="I767" s="1"/>
  <c r="G39" i="5" s="1"/>
  <c r="H39" s="1"/>
  <c r="H25"/>
  <c r="F24" i="4"/>
  <c r="J24" s="1"/>
  <c r="J25" s="1"/>
  <c r="I62" i="2"/>
  <c r="I63" s="1"/>
  <c r="I64" s="1"/>
  <c r="I65" s="1"/>
  <c r="G15" i="5" s="1"/>
  <c r="H15" s="1"/>
  <c r="F28"/>
  <c r="H584" i="2"/>
  <c r="I584" s="1"/>
  <c r="I585" s="1"/>
  <c r="I591" s="1"/>
  <c r="I592" s="1"/>
  <c r="I593" s="1"/>
  <c r="I594" s="1"/>
  <c r="I619"/>
  <c r="I620" s="1"/>
  <c r="I621" s="1"/>
  <c r="I975"/>
  <c r="I976" s="1"/>
  <c r="I977" s="1"/>
  <c r="I978" s="1"/>
  <c r="G46" i="5" s="1"/>
  <c r="H46" s="1"/>
  <c r="I226" i="2"/>
  <c r="I227" s="1"/>
  <c r="I228" s="1"/>
  <c r="I229" s="1"/>
  <c r="G24" i="5" s="1"/>
  <c r="H24" s="1"/>
  <c r="I1085" i="2"/>
  <c r="I1086" s="1"/>
  <c r="I1087" s="1"/>
  <c r="I1088" s="1"/>
  <c r="G53" i="5" s="1"/>
  <c r="H53" s="1"/>
  <c r="I389" i="2"/>
  <c r="I565"/>
  <c r="I566" s="1"/>
  <c r="I567" s="1"/>
  <c r="H530"/>
  <c r="I530" s="1"/>
  <c r="I531" s="1"/>
  <c r="I537" s="1"/>
  <c r="I538" s="1"/>
  <c r="I539" s="1"/>
  <c r="I540" s="1"/>
  <c r="G27" i="5" s="1"/>
  <c r="H27" s="1"/>
  <c r="G29" l="1"/>
  <c r="H29" s="1"/>
  <c r="G34"/>
  <c r="H34" s="1"/>
  <c r="G35"/>
  <c r="H35" s="1"/>
  <c r="H815" i="2"/>
  <c r="I815" s="1"/>
  <c r="I816" s="1"/>
  <c r="I822" s="1"/>
  <c r="I823" s="1"/>
  <c r="I824" s="1"/>
  <c r="I825" s="1"/>
  <c r="H1162"/>
  <c r="I1162" s="1"/>
  <c r="I1163" s="1"/>
  <c r="I1170" s="1"/>
  <c r="I1171" s="1"/>
  <c r="I1172" s="1"/>
  <c r="I1173" s="1"/>
  <c r="E29" i="1"/>
  <c r="G31" i="5"/>
  <c r="H31" s="1"/>
  <c r="G151" i="2"/>
  <c r="I151" s="1"/>
  <c r="I152" s="1"/>
  <c r="I169" s="1"/>
  <c r="I170" s="1"/>
  <c r="I171" s="1"/>
  <c r="I172" s="1"/>
  <c r="G18" i="5" s="1"/>
  <c r="H18" s="1"/>
  <c r="H13" s="1"/>
  <c r="D50" i="12"/>
  <c r="D54"/>
  <c r="H668" i="2"/>
  <c r="I668" s="1"/>
  <c r="I669" s="1"/>
  <c r="I677" s="1"/>
  <c r="I678" s="1"/>
  <c r="I679" s="1"/>
  <c r="I680" s="1"/>
  <c r="H439"/>
  <c r="I439" s="1"/>
  <c r="I440" s="1"/>
  <c r="I446" s="1"/>
  <c r="I447" s="1"/>
  <c r="I448" s="1"/>
  <c r="I449" s="1"/>
  <c r="H355"/>
  <c r="I355" s="1"/>
  <c r="I356" s="1"/>
  <c r="I362" s="1"/>
  <c r="I363" s="1"/>
  <c r="I364" s="1"/>
  <c r="I365" s="1"/>
  <c r="F26" i="5"/>
  <c r="H26" s="1"/>
  <c r="I390" i="2"/>
  <c r="I391" s="1"/>
  <c r="I392" s="1"/>
  <c r="G36" i="5" l="1"/>
  <c r="H36" s="1"/>
  <c r="G55"/>
  <c r="H55" s="1"/>
  <c r="H47" s="1"/>
  <c r="G28"/>
  <c r="H28" s="1"/>
  <c r="G32"/>
  <c r="H32" s="1"/>
  <c r="G42"/>
  <c r="H42" s="1"/>
  <c r="H40" s="1"/>
  <c r="H20"/>
  <c r="H19" s="1"/>
  <c r="H9" s="1"/>
</calcChain>
</file>

<file path=xl/sharedStrings.xml><?xml version="1.0" encoding="utf-8"?>
<sst xmlns="http://schemas.openxmlformats.org/spreadsheetml/2006/main" count="3628" uniqueCount="751">
  <si>
    <t xml:space="preserve">DETALHAMENTO DO BDI </t>
  </si>
  <si>
    <t xml:space="preserve"> </t>
  </si>
  <si>
    <t>CD:</t>
  </si>
  <si>
    <t>Item</t>
  </si>
  <si>
    <t>Descrição dos Serviços</t>
  </si>
  <si>
    <t>%</t>
  </si>
  <si>
    <t>Valor</t>
  </si>
  <si>
    <t>BDI</t>
  </si>
  <si>
    <t>PV</t>
  </si>
  <si>
    <t>CD</t>
  </si>
  <si>
    <t>(R$)</t>
  </si>
  <si>
    <t>ADMINISTRAÇÃO CENTRAL</t>
  </si>
  <si>
    <t>1.1</t>
  </si>
  <si>
    <t>ESCRITÓRIO CENTRAL</t>
  </si>
  <si>
    <t>1.2</t>
  </si>
  <si>
    <t>VIAGENS</t>
  </si>
  <si>
    <t>1.3</t>
  </si>
  <si>
    <t>IMPOSTOS E TAXAS</t>
  </si>
  <si>
    <t>3.1</t>
  </si>
  <si>
    <t>ISS</t>
  </si>
  <si>
    <t>3.2</t>
  </si>
  <si>
    <t>PIS</t>
  </si>
  <si>
    <t>3.3</t>
  </si>
  <si>
    <t>Cofins</t>
  </si>
  <si>
    <t>3.4</t>
  </si>
  <si>
    <t>TAXA DE RISCO</t>
  </si>
  <si>
    <t>DESPESAS FINANCEIRAS</t>
  </si>
  <si>
    <t>LUCRO</t>
  </si>
  <si>
    <t xml:space="preserve">PV = </t>
  </si>
  <si>
    <t>BDI =</t>
  </si>
  <si>
    <t>calculado</t>
  </si>
  <si>
    <t>adotado</t>
  </si>
  <si>
    <t>a =</t>
  </si>
  <si>
    <t>Administração Central</t>
  </si>
  <si>
    <t>i =</t>
  </si>
  <si>
    <t>Impostos</t>
  </si>
  <si>
    <t>r =</t>
  </si>
  <si>
    <t>Taxa de Risco</t>
  </si>
  <si>
    <t>f  =</t>
  </si>
  <si>
    <t>Despesas financeiras</t>
  </si>
  <si>
    <t>l =</t>
  </si>
  <si>
    <t>Lucro</t>
  </si>
  <si>
    <t>BDI = ((1+a+r+f)/(1-(i+l))-1)*100</t>
  </si>
  <si>
    <t>CODEVASF</t>
  </si>
  <si>
    <t>01.03-A</t>
  </si>
  <si>
    <t xml:space="preserve"> COMPOSIÇÃO DE PREÇO UNITÁRIO</t>
  </si>
  <si>
    <t>EQUIPAMENTO</t>
  </si>
  <si>
    <t>UNID</t>
  </si>
  <si>
    <t>QUANT.</t>
  </si>
  <si>
    <t>PROD</t>
  </si>
  <si>
    <t>IMPROD</t>
  </si>
  <si>
    <t>P.UNIT. PROD</t>
  </si>
  <si>
    <t>P.UNIT. IMPR</t>
  </si>
  <si>
    <t>P.TOTAL</t>
  </si>
  <si>
    <t>h</t>
  </si>
  <si>
    <t>SUB-TOTAL</t>
  </si>
  <si>
    <t>MATERIAL</t>
  </si>
  <si>
    <t>DISCRIMINAÇÃO</t>
  </si>
  <si>
    <t>P.UNIT.</t>
  </si>
  <si>
    <t>unid.</t>
  </si>
  <si>
    <t>SERVIÇOS - COMPOSIÇÕES AUXILIARES</t>
  </si>
  <si>
    <t>MÃO DE OBRA</t>
  </si>
  <si>
    <t>PRODUÇÃO DA EQUIPE</t>
  </si>
  <si>
    <t xml:space="preserve">CUSTO </t>
  </si>
  <si>
    <t>TOTAL DO SERVIÇO - R$</t>
  </si>
  <si>
    <t>07.08</t>
  </si>
  <si>
    <t xml:space="preserve">UNIDADE: </t>
  </si>
  <si>
    <t xml:space="preserve">m² </t>
  </si>
  <si>
    <t>UNIDADE</t>
  </si>
  <si>
    <t xml:space="preserve">Placa de identificação da obra, conforme Lay-out normatizado </t>
  </si>
  <si>
    <t>Peça de madeira de lei 1ª Q 2,5x 7,5cm</t>
  </si>
  <si>
    <t>m</t>
  </si>
  <si>
    <t>Peça de madeira 3ª/4ª Q 7,5x 7,5cm</t>
  </si>
  <si>
    <t>Prego 18x30</t>
  </si>
  <si>
    <t>kg</t>
  </si>
  <si>
    <t>Carpinteiro</t>
  </si>
  <si>
    <t>Servente</t>
  </si>
  <si>
    <t>TOTAL - R$</t>
  </si>
  <si>
    <t>01.04-A</t>
  </si>
  <si>
    <t>01.01-A</t>
  </si>
  <si>
    <t>m²</t>
  </si>
  <si>
    <t>Madeirit fenólico (resinado)  220X110X14</t>
  </si>
  <si>
    <t xml:space="preserve">Pontalete de madeira </t>
  </si>
  <si>
    <t>Sarrafo</t>
  </si>
  <si>
    <t>Dobradiça metálica</t>
  </si>
  <si>
    <t>Cadeado 25 mm</t>
  </si>
  <si>
    <t>Areia Lavada</t>
  </si>
  <si>
    <t>m³</t>
  </si>
  <si>
    <t>Brita 1</t>
  </si>
  <si>
    <t>Tanque</t>
  </si>
  <si>
    <t>Torneira</t>
  </si>
  <si>
    <t>Caixa d´água 500 l</t>
  </si>
  <si>
    <t>l</t>
  </si>
  <si>
    <t xml:space="preserve">Chuveiro plástico </t>
  </si>
  <si>
    <t>Tubo para chuveiro</t>
  </si>
  <si>
    <t xml:space="preserve">Tomada universal </t>
  </si>
  <si>
    <t>Interruptor simples</t>
  </si>
  <si>
    <t>Soquete de plástico para lâmpada</t>
  </si>
  <si>
    <t>Lâmpada incandescente 60W</t>
  </si>
  <si>
    <t>Tinta PVA látex</t>
  </si>
  <si>
    <t>Registro de pressão ou gaveta 1/2"</t>
  </si>
  <si>
    <t>Oficial</t>
  </si>
  <si>
    <t>Cimento</t>
  </si>
  <si>
    <t>Brita 2</t>
  </si>
  <si>
    <t>Pedreiro</t>
  </si>
  <si>
    <t>01.02-A</t>
  </si>
  <si>
    <t>mês</t>
  </si>
  <si>
    <t>Veículo comercial leve</t>
  </si>
  <si>
    <t>Kit 1º socorros</t>
  </si>
  <si>
    <t>Material de limpeza</t>
  </si>
  <si>
    <t>EPI</t>
  </si>
  <si>
    <t>Topografo</t>
  </si>
  <si>
    <t>Topografo auxíliar</t>
  </si>
  <si>
    <t xml:space="preserve">BDI                </t>
  </si>
  <si>
    <t>Pintor</t>
  </si>
  <si>
    <t>Ajudante</t>
  </si>
  <si>
    <t>Kg</t>
  </si>
  <si>
    <t>UNID.</t>
  </si>
  <si>
    <t>TOTAL</t>
  </si>
  <si>
    <t>Total</t>
  </si>
  <si>
    <t>B</t>
  </si>
  <si>
    <t>SINAPI</t>
  </si>
  <si>
    <t>PLANILHA ORÇAMENTÁRIA DE SERVIÇOS</t>
  </si>
  <si>
    <t>TOTAL DOS SERVIÇOS (R$)</t>
  </si>
  <si>
    <t>ITEM</t>
  </si>
  <si>
    <t>CÓD</t>
  </si>
  <si>
    <t>DISCRIMINAÇÃO DOS SERVIÇOS</t>
  </si>
  <si>
    <t>PREÇO (R$)</t>
  </si>
  <si>
    <t>UNITÁRIO</t>
  </si>
  <si>
    <t>1</t>
  </si>
  <si>
    <t>INSTALAÇÕES PRELIMINARES E ADMINISTRAÇÃO</t>
  </si>
  <si>
    <t>un</t>
  </si>
  <si>
    <t>1.4</t>
  </si>
  <si>
    <t>2</t>
  </si>
  <si>
    <t>DADOS:</t>
  </si>
  <si>
    <t>SALÁRIO MÍNIMO</t>
  </si>
  <si>
    <t>Mão-de-obra</t>
  </si>
  <si>
    <t>Encarregado/mestre-de-obra</t>
  </si>
  <si>
    <t>Materiais</t>
  </si>
  <si>
    <t>AREIA GROSSA</t>
  </si>
  <si>
    <t>AREIA P/ ATERRO</t>
  </si>
  <si>
    <t>CAMINHÃO BASCULANTE 5,0M3/11T DIESEL TIPO MERCEDES 142HP LK-1214 OU EQUIV (INCL MANUT/OPERACAO)</t>
  </si>
  <si>
    <t>00004750</t>
  </si>
  <si>
    <t>00004783</t>
  </si>
  <si>
    <t>00004431</t>
  </si>
  <si>
    <t>00005075</t>
  </si>
  <si>
    <t>6111</t>
  </si>
  <si>
    <t>00007592</t>
  </si>
  <si>
    <t>APONTADOR</t>
  </si>
  <si>
    <t>6122</t>
  </si>
  <si>
    <t>TECNICO DE LABORATORIO</t>
  </si>
  <si>
    <t>ENGENHEIRO OU ARQUITETO /PLENO - DE OBRA</t>
  </si>
  <si>
    <t>ENGENHEIRO OU ARQUITETO /JUNIOR - DE OBRA</t>
  </si>
  <si>
    <t>Sarrafo 3ª 1x4"</t>
  </si>
  <si>
    <t>00011440</t>
  </si>
  <si>
    <t>00005090</t>
  </si>
  <si>
    <t>TANQUE SIMPLES PRE-MOLDADO DE CONCRETO</t>
  </si>
  <si>
    <t>TORNEIRA PLASTICO 1/2" P/ PIA</t>
  </si>
  <si>
    <t>00011871</t>
  </si>
  <si>
    <t>00007608</t>
  </si>
  <si>
    <t>00011680</t>
  </si>
  <si>
    <t>TOMADA EMBUTIR 2P UNIVERSAL REDONDA 10A/250V C/ PLACA, TIPO SILEN</t>
  </si>
  <si>
    <t>00007528</t>
  </si>
  <si>
    <t>00007555</t>
  </si>
  <si>
    <t>00013329</t>
  </si>
  <si>
    <t>00003764</t>
  </si>
  <si>
    <t>00007345</t>
  </si>
  <si>
    <t>00011752</t>
  </si>
  <si>
    <t>Pneus</t>
  </si>
  <si>
    <t>ALMOXARIFE</t>
  </si>
  <si>
    <t>253</t>
  </si>
  <si>
    <t>PLACA DE OBRA (IDENTIFICACAO) PARA CONSTRUCAO CIVIL EM CHAPA GALVANIZADA NUM 26 (NAO INCLUI COLOCACAO)</t>
  </si>
  <si>
    <t>PECA DE MADEIRA LEI 1A QUALIDADE 2,5 X 7,5CM (1 X 3") NAO APARELHADA</t>
  </si>
  <si>
    <t>PECA DE MADEIRA 3A/4A QUALIDADE 7,5 X 7,5CM (3X3) NAO APARELHADA</t>
  </si>
  <si>
    <t>Areia grossa</t>
  </si>
  <si>
    <t>Areia média</t>
  </si>
  <si>
    <t>Areia fina</t>
  </si>
  <si>
    <t>Prego 18x27</t>
  </si>
  <si>
    <t>09.01.13</t>
  </si>
  <si>
    <t>Ajudante de encanador</t>
  </si>
  <si>
    <t>cj</t>
  </si>
  <si>
    <t>Cal hidratada</t>
  </si>
  <si>
    <t>00001213</t>
  </si>
  <si>
    <t>Combustível</t>
  </si>
  <si>
    <t>Encanador</t>
  </si>
  <si>
    <t>LIXA P/ PAREDE OU MADEIRA</t>
  </si>
  <si>
    <t>Lubrificantes</t>
  </si>
  <si>
    <t>TABUA MADEIRA 3A QUALIDADE 2,5 X 30,0CM (1 X 12") NAO APARELHADA</t>
  </si>
  <si>
    <t>Tijolo furado, 8 furos - dimensões: (30 X 20 X 10) cm.</t>
  </si>
  <si>
    <t>E N C A R G O S    S O C I A I S</t>
  </si>
  <si>
    <t>Planilha de Cálculo - Horistas</t>
  </si>
  <si>
    <t>A-</t>
  </si>
  <si>
    <t>Encargos Sociais Básicos</t>
  </si>
  <si>
    <t>Seconci</t>
  </si>
  <si>
    <t>INSS</t>
  </si>
  <si>
    <t>FGTS</t>
  </si>
  <si>
    <t>Incra</t>
  </si>
  <si>
    <t xml:space="preserve">Salário Educação </t>
  </si>
  <si>
    <t>Sebrae</t>
  </si>
  <si>
    <t>Seguro contra acidente</t>
  </si>
  <si>
    <t>Senai</t>
  </si>
  <si>
    <t>Sesi</t>
  </si>
  <si>
    <t xml:space="preserve">A </t>
  </si>
  <si>
    <t>B-</t>
  </si>
  <si>
    <t>Encargos Sociais Que Recebem Incidências de A</t>
  </si>
  <si>
    <t>C-</t>
  </si>
  <si>
    <t>Encargos Que Não Recebem Incidências Globais de A</t>
  </si>
  <si>
    <t>C</t>
  </si>
  <si>
    <t>D-</t>
  </si>
  <si>
    <t>Taxa de Reincidência</t>
  </si>
  <si>
    <t>D</t>
  </si>
  <si>
    <t>TOTAL DOS ENCARGOS</t>
  </si>
  <si>
    <t>Planilha de Cálculo - Mensalistas</t>
  </si>
  <si>
    <t>SERVIÇOS OBJETO DO CONTRATO</t>
  </si>
  <si>
    <t>00007791 TUBO CONCRETO SIMPLES CLASSE - PS1 PB NBR-8890 DN 600MM P/AGUAS PLUVIAIS M 41,11</t>
  </si>
  <si>
    <t>SERVIÇO :Mobilização de equipamentos, materiais e pessoal.</t>
  </si>
  <si>
    <t>Caminhão basculante com capacidade para 5,0 m³/11T - Tipo MERCEDES 142HP LK-1214 ou equivalente incluindo manutenção e operação.</t>
  </si>
  <si>
    <t>SERVIÇO : Desmobilização de equipamentos, materiais e pessoal.</t>
  </si>
  <si>
    <t>Engenheiro Junior</t>
  </si>
  <si>
    <t>Encarregado</t>
  </si>
  <si>
    <t>A</t>
  </si>
  <si>
    <t>Depreciação mensal do equipamento</t>
  </si>
  <si>
    <t>A1</t>
  </si>
  <si>
    <t xml:space="preserve">Preço de Aquisição </t>
  </si>
  <si>
    <t>A2</t>
  </si>
  <si>
    <t>Tempo previsto de vida útil (meses)</t>
  </si>
  <si>
    <t>A3</t>
  </si>
  <si>
    <t>Previsão de recup. Na venda do bem usado</t>
  </si>
  <si>
    <t>A4</t>
  </si>
  <si>
    <t>Custo mensal [A1-(A3xA1)]/A2</t>
  </si>
  <si>
    <t>Juros pelo Capital empregado</t>
  </si>
  <si>
    <t>B1</t>
  </si>
  <si>
    <t xml:space="preserve">Taxa mensal de Juros </t>
  </si>
  <si>
    <t>B2</t>
  </si>
  <si>
    <t>Juros s/depreciação/aluguel (B1xA4)</t>
  </si>
  <si>
    <t xml:space="preserve">Conservação e manutenção </t>
  </si>
  <si>
    <t>C1</t>
  </si>
  <si>
    <t>Taxa de gastos s/a deprec. Inc. seguros (%)</t>
  </si>
  <si>
    <t>C2</t>
  </si>
  <si>
    <t>Incidência mensal (C1xA4)</t>
  </si>
  <si>
    <t>D1</t>
  </si>
  <si>
    <t>Média mensal de quilômetro por veículo</t>
  </si>
  <si>
    <t>D2</t>
  </si>
  <si>
    <t>Preço do litro de combustível</t>
  </si>
  <si>
    <t>D3</t>
  </si>
  <si>
    <t>Quilômetros rodados com um litro combustivel</t>
  </si>
  <si>
    <t>D4</t>
  </si>
  <si>
    <t>Combustivel    (D1/D3)*D2</t>
  </si>
  <si>
    <t>E</t>
  </si>
  <si>
    <t>E1</t>
  </si>
  <si>
    <t xml:space="preserve">Quilometragem do Contrato </t>
  </si>
  <si>
    <t>E2</t>
  </si>
  <si>
    <t>Franquia por troca de óleo (km)</t>
  </si>
  <si>
    <t>E3</t>
  </si>
  <si>
    <t>Preço do litro de óleo</t>
  </si>
  <si>
    <t>E4</t>
  </si>
  <si>
    <t>Quantidade de litros de óleo por troca</t>
  </si>
  <si>
    <t>E5</t>
  </si>
  <si>
    <t>Quantidade de dias do Contrato</t>
  </si>
  <si>
    <t>E6</t>
  </si>
  <si>
    <t>Lubrificantes  E = (E1*E3*E4*30)/E2*E5</t>
  </si>
  <si>
    <t>F</t>
  </si>
  <si>
    <t>F1</t>
  </si>
  <si>
    <t>F2</t>
  </si>
  <si>
    <t>Vida do Pneu em quilômetros</t>
  </si>
  <si>
    <t>F3</t>
  </si>
  <si>
    <t>Quantidade de pneus</t>
  </si>
  <si>
    <t>F4</t>
  </si>
  <si>
    <t>Preço do Pneu</t>
  </si>
  <si>
    <t>F5</t>
  </si>
  <si>
    <t xml:space="preserve">Quantidade de dias do contrato </t>
  </si>
  <si>
    <t>F6</t>
  </si>
  <si>
    <t>Pneus = (F1*F3*F4*30)/(F2*F5)</t>
  </si>
  <si>
    <t>G</t>
  </si>
  <si>
    <t>Motorista</t>
  </si>
  <si>
    <t>G1</t>
  </si>
  <si>
    <t>Salário com encargos sociais</t>
  </si>
  <si>
    <t>H</t>
  </si>
  <si>
    <t>Custo Mensal</t>
  </si>
  <si>
    <t>Sem Motorista</t>
  </si>
  <si>
    <t>Com Motorista</t>
  </si>
  <si>
    <t>I</t>
  </si>
  <si>
    <t>Custo Direto p/ km Rodado</t>
  </si>
  <si>
    <t>J</t>
  </si>
  <si>
    <t xml:space="preserve">Preço cobrado pela empresa </t>
  </si>
  <si>
    <t>J1</t>
  </si>
  <si>
    <t>J2</t>
  </si>
  <si>
    <t>Arame recozido 18  BWG - 1,25mm - 9,60 G/M .</t>
  </si>
  <si>
    <t>Peça de madeira 3A/4A qualidade 7,5cm x 7,5cm (3x3) não aparelhada.</t>
  </si>
  <si>
    <t>Tabua de madeira 3A qualidade 2,5cm x 23,0cm (1X9") não aparelhada.</t>
  </si>
  <si>
    <t>Prego de aço 18 x 27</t>
  </si>
  <si>
    <t>Cimento Portland comum CP I -32</t>
  </si>
  <si>
    <t>Betoneira 580L eletrica trifasica com potencia de 7,5 HP com carregador mecânico.</t>
  </si>
  <si>
    <t>Arame recozido de 18 BWG</t>
  </si>
  <si>
    <t>01.03.02</t>
  </si>
  <si>
    <t>Aço CA 50A 5/16"</t>
  </si>
  <si>
    <t>SERVIÇO : Instalação completa de canteiro de obras.</t>
  </si>
  <si>
    <t>SERVIÇO : Administração local e manutenção do canteiro de obras.</t>
  </si>
  <si>
    <t>1.5</t>
  </si>
  <si>
    <t>Betoneira 580L elétrica trifásica com potencia de 7,5 HP com carregador mecânico.</t>
  </si>
  <si>
    <t>EXECUÇÃO DE QUADRA POLIESPORTIVA</t>
  </si>
  <si>
    <t>Construção da Quadra Poliesportiva</t>
  </si>
  <si>
    <t>21.02.02</t>
  </si>
  <si>
    <t xml:space="preserve">BDI               </t>
  </si>
  <si>
    <t>ESCAVAÇÃO MANUAL</t>
  </si>
  <si>
    <t>LARGURA</t>
  </si>
  <si>
    <t>VEZES</t>
  </si>
  <si>
    <t>VOLUME</t>
  </si>
  <si>
    <t>ARQUIBANCADA</t>
  </si>
  <si>
    <t>BASE / BICICLETÁRIO</t>
  </si>
  <si>
    <t>TOTAL ESCAVAÇÃO MANUAL</t>
  </si>
  <si>
    <t>ALVENARIA EM TIJOLO CERÂMICO - MURETA</t>
  </si>
  <si>
    <t>ALVENARIA EM TIJOLO CERÂMICO - ARQUIBANCADA</t>
  </si>
  <si>
    <t>TOTAL ALVENARIA EM TIJOLO CERÂMICO</t>
  </si>
  <si>
    <t>LASTRO DE BRITA 2 OU 3</t>
  </si>
  <si>
    <t>ARQUIBANCADA - PILARESTES</t>
  </si>
  <si>
    <t>LAJE PRÉ-MOLDADA</t>
  </si>
  <si>
    <t>M</t>
  </si>
  <si>
    <t>TOTAL DEMARCAÇÃO</t>
  </si>
  <si>
    <t>ALAMBRADO - A1</t>
  </si>
  <si>
    <t>ALAMBRADO - A2</t>
  </si>
  <si>
    <t>ALAMBRADO - A3</t>
  </si>
  <si>
    <t>TOTAL ALAMBRADO</t>
  </si>
  <si>
    <t>CORRIMÃO / BICICLETÁRIO</t>
  </si>
  <si>
    <t>PINTURA CORRIMÃO / BICICLETÁRIO</t>
  </si>
  <si>
    <t>PROFUND.</t>
  </si>
  <si>
    <t>21.01.02</t>
  </si>
  <si>
    <t>02.02.11</t>
  </si>
  <si>
    <t>PERIMETRO CINTAMENTO EXTERNO</t>
  </si>
  <si>
    <t>Cimento Portland Comum CP I - 32</t>
  </si>
  <si>
    <t>Cal hidratada, de 1ª qualidade, p/ argamassa</t>
  </si>
  <si>
    <t>00001106</t>
  </si>
  <si>
    <t>AREIA MEDIA</t>
  </si>
  <si>
    <t>73964/006 REATERRO MANUAL DE VALAS M3 18,74</t>
  </si>
  <si>
    <t>SERVIÇO: Reaterro manual de valas.</t>
  </si>
  <si>
    <t>Argamassa cimento e areia traço 1:3</t>
  </si>
  <si>
    <t>Cimento Portland comum CP-I</t>
  </si>
  <si>
    <t>OBRA:</t>
  </si>
  <si>
    <t>CONSTRUÇÃO DE UMA QUADRA POLIESPORTIVA DESCOBERTA E EQUIPADA</t>
  </si>
  <si>
    <t>Composição: Material e mão de obra</t>
  </si>
  <si>
    <t xml:space="preserve">LOCAL: </t>
  </si>
  <si>
    <t>DESCRIÇÃO DOS SERVIÇOS</t>
  </si>
  <si>
    <t>CÁLCULO</t>
  </si>
  <si>
    <t xml:space="preserve">LOCAÇÃO </t>
  </si>
  <si>
    <t>M²</t>
  </si>
  <si>
    <t>COMPRIMENTO</t>
  </si>
  <si>
    <t>M³</t>
  </si>
  <si>
    <t>EXTENSÃO</t>
  </si>
  <si>
    <t>CINTAMENTO INTERNO - MURETA</t>
  </si>
  <si>
    <t>SAPATA - MURETA</t>
  </si>
  <si>
    <t>REATERRO</t>
  </si>
  <si>
    <t xml:space="preserve">EXTENSÃO </t>
  </si>
  <si>
    <t>TOTAL REATERRO</t>
  </si>
  <si>
    <t>ÁREA</t>
  </si>
  <si>
    <t xml:space="preserve">CHAPISCO </t>
  </si>
  <si>
    <t>EXTENSÃO / ÁREA</t>
  </si>
  <si>
    <t xml:space="preserve">SAPATA - MURETA </t>
  </si>
  <si>
    <t>ARQUIBANCADA - CINTAMENTO</t>
  </si>
  <si>
    <t xml:space="preserve">TOTAL CHAPISCO </t>
  </si>
  <si>
    <t>REBOCO</t>
  </si>
  <si>
    <t>TOTAL REBOCO</t>
  </si>
  <si>
    <t>LASTRO DE BRITA PARA O PISO DA QUADRA</t>
  </si>
  <si>
    <t>TOTAL CONCRETO NÃO ESTRUTURAL</t>
  </si>
  <si>
    <t>PILARETES MURETA</t>
  </si>
  <si>
    <t>TOTAL CONCRETO ARMADO</t>
  </si>
  <si>
    <t>LAJE - ARQUIBANCADA</t>
  </si>
  <si>
    <t>PINTURA ACRÍLICA - DEMARCAÇÃO</t>
  </si>
  <si>
    <t>FORNECIMENTO E ASSENTAMENTO DE ALAMBRADO</t>
  </si>
  <si>
    <t>CORRIMÃO</t>
  </si>
  <si>
    <t>PINTURA CORRIMÃO</t>
  </si>
  <si>
    <t>PI</t>
  </si>
  <si>
    <t>11.02.01</t>
  </si>
  <si>
    <t>Argamassa cimento e areia, traço 1:7</t>
  </si>
  <si>
    <t>TIJOLO CERAMICO FURADO 8 FUROS 10 X 20 X 30CM</t>
  </si>
  <si>
    <t>SERVIÇO: Argamassa cimento e areia, traço 1:7</t>
  </si>
  <si>
    <t>12.02</t>
  </si>
  <si>
    <t>12.06</t>
  </si>
  <si>
    <t>15.01.01A</t>
  </si>
  <si>
    <t>15.01.04A</t>
  </si>
  <si>
    <t>Argamassa traço 1:4,5 (cal e areia fina peneirada)</t>
  </si>
  <si>
    <t>SERVIÇO: Argamassa traço 1:4,5 (cal e areia peneirada)</t>
  </si>
  <si>
    <t>12.12</t>
  </si>
  <si>
    <t>AREIA FINA</t>
  </si>
  <si>
    <t>Pedra britada nº 2</t>
  </si>
  <si>
    <t>09.01.02</t>
  </si>
  <si>
    <t>10.03.05</t>
  </si>
  <si>
    <t>Peça de madeira 7,5 x 7,5 (3x3) não aparelhada</t>
  </si>
  <si>
    <t>Laje pré-moldada para piso, convencional</t>
  </si>
  <si>
    <t>Ajudante de carpinteiro</t>
  </si>
  <si>
    <t>SERVIÇO: Concreto no traço 1:4:8 em volume (cimento, areia e brita) - Preparo em betoneira.</t>
  </si>
  <si>
    <t>09.01.07</t>
  </si>
  <si>
    <t>Tábua em madeira  - 30,0 X 2,50 cm (1x12"), não aparelhada</t>
  </si>
  <si>
    <t>Aço CA-60 - 5,0mm</t>
  </si>
  <si>
    <t>09.02.03</t>
  </si>
  <si>
    <t>Pedra britada nº 1</t>
  </si>
  <si>
    <t>Operador de máquina e equipamento</t>
  </si>
  <si>
    <t>Lixa parede ou madeira</t>
  </si>
  <si>
    <t>TINTA LATEX ACRILICA</t>
  </si>
  <si>
    <t>PINTURA LATEX ACRILICO</t>
  </si>
  <si>
    <t>Tinta acrílica para piso</t>
  </si>
  <si>
    <t>TINTA ACRILICA PARA PISO</t>
  </si>
  <si>
    <t>20.03A</t>
  </si>
  <si>
    <t>Fita crepe em rolos 25mmX50m</t>
  </si>
  <si>
    <t>SERVIÇO: Demarcação com tinta acrílica para pisos de faixas em quadra poliesportiva.</t>
  </si>
  <si>
    <t>FITA CREPE EM ROLOS 25MMX50M</t>
  </si>
  <si>
    <t>20.17</t>
  </si>
  <si>
    <t>17.07.14</t>
  </si>
  <si>
    <t>ARAME GALVANIZADO 14 BWG - 2,10MM - 27,20 G/M</t>
  </si>
  <si>
    <t>ARAME GALVANIZADO 10 BWG - 3,40MM - 71,30 G/M</t>
  </si>
  <si>
    <t>TUBO ACO GALV C/ COSTURA DIN 2440/NBR 5580 CLASSE MEDIA DN 2" (50MM) E=3,65MM - 5,10KG/M</t>
  </si>
  <si>
    <t>TELA ARAME GALV FIO 14 BWG (2,11MM) MALHA 2" (5x5cm) QUADRADA OU LOSANGO H = 2,0M</t>
  </si>
  <si>
    <t>Montador (tubo aço/equipamentos)</t>
  </si>
  <si>
    <t>Ajudante de armador</t>
  </si>
  <si>
    <t>Arame galvanizado 14BWG - 2,10mm - 27,2 G/M.</t>
  </si>
  <si>
    <t>Tela arame galv. fio 14 BWG, h=2,00</t>
  </si>
  <si>
    <t>Arame galvanizado 10BWG - 3,4mm - 71,3 G/M.</t>
  </si>
  <si>
    <t>SERVIÇO: Corrimão em tubo de aço galvanizado 1 1/4" com braçadeira</t>
  </si>
  <si>
    <t>TUBO ACO GALV C/ COSTURA DIN 2440/NBR 5580 CLASSE MEDIA DN 1.1/4" (32MM) E=3,25MM - 3,14KG/M</t>
  </si>
  <si>
    <t>Argamassa traço 1:3 (cimento e areia), preparo manual.</t>
  </si>
  <si>
    <t>BRAÇADEIRA C/ PARAFUSO D = 1 1/4"</t>
  </si>
  <si>
    <t>SERVIÇO: Pintura esmalte 2 demãos com 1 demão de zarcão para esquadria de ferro.</t>
  </si>
  <si>
    <t>18.02.14</t>
  </si>
  <si>
    <t>20.01.18</t>
  </si>
  <si>
    <t>Lixa para ferro</t>
  </si>
  <si>
    <t>LIXA P/ FERRO</t>
  </si>
  <si>
    <t>SOLVENTE DILUENTE A BASE DE AGUARRAS</t>
  </si>
  <si>
    <t>gl</t>
  </si>
  <si>
    <t>TINTA ESMALTE SINTETICO ALTO BRILHO</t>
  </si>
  <si>
    <t>FUNDO ANTICORROSIVO TIPO ZARCAO OU EQUIVALENTE.</t>
  </si>
  <si>
    <t>Tinta esmalte sintético alto brilho</t>
  </si>
  <si>
    <t>Fundo anticorrosivo</t>
  </si>
  <si>
    <t>05.14</t>
  </si>
  <si>
    <t>SERVIÇO: Lastro de brita nº 2 apiloada manualmente com maço de até 30 kg.</t>
  </si>
  <si>
    <t>SERVIÇO: Reboco para paredes argamassada traço 1:4,5 (cal e areia fina peneirada), espessura 0,5cm, preparo mecânico.</t>
  </si>
  <si>
    <t>09.02.11</t>
  </si>
  <si>
    <t>09.01.14</t>
  </si>
  <si>
    <t>Brita 2 ou 25mm</t>
  </si>
  <si>
    <t>Desmoldante para forma de madeira</t>
  </si>
  <si>
    <t>Chapa madeira compensada 2,2 x 1,1m (12mm) para forma concreto</t>
  </si>
  <si>
    <t>Aço CA 50A 5/8"</t>
  </si>
  <si>
    <t>Madeira pinho serrada, não emparelhada</t>
  </si>
  <si>
    <t>Armador</t>
  </si>
  <si>
    <t>Armação de aço CA 50, 5/8" (15,87 mm)</t>
  </si>
  <si>
    <t>Armação de aço CA 50, 5/16" (7,94 mm)</t>
  </si>
  <si>
    <t>CHAPA MADEIRA COMPENSADA RESINADA 2,2 X 1,1M X 12MM P/ FORMA CONCRETO</t>
  </si>
  <si>
    <t>MADEIRA PINHO SERRADA 3A QUALIDADE NAO APARELHADA</t>
  </si>
  <si>
    <t>09.01.16</t>
  </si>
  <si>
    <t>CONCRETO NÃO ESTRUTURAL 1:4:8</t>
  </si>
  <si>
    <t>Selante elástico monocomponente e agrave.</t>
  </si>
  <si>
    <t>310ml</t>
  </si>
  <si>
    <t>Máquina elétrica para polimento de piso.</t>
  </si>
  <si>
    <t>Máquina de cortar concreto, a gasolina, potência 10hp c/ disco até 20"</t>
  </si>
  <si>
    <t>SELANTE ELÁSTICO MONOCOMPONENTE À BASE DE POLIURETANO SIKAFLEX 1A PLUS OU EQUIVALENTE</t>
  </si>
  <si>
    <t>MAQUINA ELETRICA P/ POLIMENTO DE PISO</t>
  </si>
  <si>
    <t>MAQUINA DE CORTAR ASFALTO /CONCRETO A GASOLINA POT * 10HP * C/ DISCO * ATE 20" * TIPO CLIPPER OU EQUIV (INCL MANUTENCAO/OPERACAO)</t>
  </si>
  <si>
    <t>PISO EM CONCRETO, e=8cm</t>
  </si>
  <si>
    <t>DESCONTO</t>
  </si>
  <si>
    <t>SERVIÇO: Conjunto de traves para futsal pintadas, incluso rede</t>
  </si>
  <si>
    <t>Conjunto para futsal (traves fogoTSAL (TRAVES FOGO 300X200 REDES 4MM</t>
  </si>
  <si>
    <t>17.07.15</t>
  </si>
  <si>
    <t>17.07.16</t>
  </si>
  <si>
    <t>Tabela basquete laminado naval 180X120 aro metal e rede - conjunto com 02 tabelas</t>
  </si>
  <si>
    <t>SERVIÇO: Conjunto de tabelas de basquete em laminado naval, incluso rede e aro.</t>
  </si>
  <si>
    <t>3</t>
  </si>
  <si>
    <t>3.5</t>
  </si>
  <si>
    <t>3.6</t>
  </si>
  <si>
    <t>4</t>
  </si>
  <si>
    <t>COMPR.</t>
  </si>
  <si>
    <t>Ministério da Integração Nacional Companhia de Desenvolvimento dos Vales do São Francisco e do Parnaíba</t>
  </si>
  <si>
    <t>4.1</t>
  </si>
  <si>
    <t>4.2</t>
  </si>
  <si>
    <t>4.3</t>
  </si>
  <si>
    <t>4.4</t>
  </si>
  <si>
    <t>4.5</t>
  </si>
  <si>
    <t>Oficial Eletricista</t>
  </si>
  <si>
    <t>Oficial eletricista</t>
  </si>
  <si>
    <t>Cabo de cobre isolamento anti-chama 450/750 4mm², flexivel, tp floresplast alcoa ou equivalente.</t>
  </si>
  <si>
    <t>17.01.21A</t>
  </si>
  <si>
    <t>SERVIÇO :Quadro de distribuição de energia em chapa metálica, para 3 disjuntores termomagnéticos monopolares, sem dispositivo para chave geral, com porta, sem barramentos fases e com barramento neutro, fornecimento e instalação.</t>
  </si>
  <si>
    <t>17.05.22</t>
  </si>
  <si>
    <t>Quadro de distribuição de embutir sem barramento para 3 disjuntores unipolares, em chapa de aço galvanizado.</t>
  </si>
  <si>
    <t>Caixa de inspeção concreto pré-moldado circular com tampa d=60com e h=60cm.</t>
  </si>
  <si>
    <t>17.02.01.12</t>
  </si>
  <si>
    <t>Ajudante de eletricista</t>
  </si>
  <si>
    <t>Lâmpada vapor metálico 400w base E-40.</t>
  </si>
  <si>
    <t>Projetor retangular fechado p/ lâmpada vapor de mercurio/sódio 250W a 500W, cabeceiras em aluminio fundido, corpo em aluminio anodizado, para lâmpada E40 fechamento em vidro temperado.</t>
  </si>
  <si>
    <t>Reator p/ 1 lâmpada vapor de mercurio 400W uso externo</t>
  </si>
  <si>
    <t>17.01.67</t>
  </si>
  <si>
    <t>Ajudante eletricista</t>
  </si>
  <si>
    <t>Tubo aço galvanizado c/ costura din 2440/NBR 5580 classe média DN 2.1/2" (65mm) E=3,65mm - 6,51kg/m</t>
  </si>
  <si>
    <t>Rodizio latão 6mm c/ rolamento skf</t>
  </si>
  <si>
    <t>Eletrodo AWS E-6010 (0K 22.50; WI 610) d = 4mm ( Solda eletrica )</t>
  </si>
  <si>
    <t>Máquina p/ solda elétrica tipo bambina tig 30 ac/dc da bambozzi ou equivalente.</t>
  </si>
  <si>
    <t>Soldador</t>
  </si>
  <si>
    <t>Cotado em mercado</t>
  </si>
  <si>
    <t>Galvite - primer para superficie galvanizada</t>
  </si>
  <si>
    <t>Tubo aço galvanizado com costura din 2440 / NBR 5580 classe média DN 2" (50mm) E=3,65mm - 5,10kg/m</t>
  </si>
  <si>
    <t>Rede de volley, padrão oficial</t>
  </si>
  <si>
    <t>Rede de futsal, padrão oficial</t>
  </si>
  <si>
    <t>Tubo aço galvanizado c/ costura din 2440/NBR 5580 classe média DN 3" (80mm) E= 4,05mm - 8,47kg/m</t>
  </si>
  <si>
    <t>Tubo aço galvanizado c/ costura din 2440/NBR 5580 classe média DN 4" (100mm) E= 4,50mm - 12,10kg/m</t>
  </si>
  <si>
    <t>17.07.17</t>
  </si>
  <si>
    <t>par</t>
  </si>
  <si>
    <t>Tubo aço galvanizado c/ costura din 240/NBR 5580 classe média DN 1/2" (15mm) E = 2,65mm - 1,22kg/m</t>
  </si>
  <si>
    <t>PISO</t>
  </si>
  <si>
    <t xml:space="preserve">SERVIÇO: Alvenaria de 1/2 vez em tijolo cerâmico furado, 8 furos, dimensões 30x20x10cm,  esp. 10cm </t>
  </si>
  <si>
    <t>Malha pop reforçada</t>
  </si>
  <si>
    <t>Malha pop reforçada, espaçamento= 15x15cm, diametro= 4,2mm, painel= 3,0 x 2,0m</t>
  </si>
  <si>
    <t>PISO - MALHA POP DE AÇO, DIAMETRO= 4,2MM - CA 50</t>
  </si>
  <si>
    <t>TOTAL MALHA DE AÇO</t>
  </si>
  <si>
    <t>VIBRADOR DE IMERSAO C/ MOTOR ELETRICO TRIFASICO ACIMA DE 2HP QUALQUER DIAM C/ MANGOTE</t>
  </si>
  <si>
    <t>CALÇADA EM CONCRETO 1:4:8 - DESEMPENADO</t>
  </si>
  <si>
    <t>TOTAL PINTURA LATEX ACRILICO</t>
  </si>
  <si>
    <t>Guindaste tipo munck, capacidade de 2 toneladas, montado em caminhão carroceria.</t>
  </si>
  <si>
    <t>Cruzeta ferro galvanizado rosca ref 1 1/2".</t>
  </si>
  <si>
    <t>Parafuso frances zincado 1/2" X 15" com porca e arruela lisa/média.</t>
  </si>
  <si>
    <t>Parafuso frances zincado 1/2" X 4" com porca e arruela.</t>
  </si>
  <si>
    <t>Poste de concreto, 100kg, h = 7m de acordo com NBR 8451.</t>
  </si>
  <si>
    <t>17.08.02.32</t>
  </si>
  <si>
    <t xml:space="preserve">a cada 2,5 </t>
  </si>
  <si>
    <t>a cada 2,5</t>
  </si>
  <si>
    <t>Concreto estrutural FCK= 20MPA, virado em betoneira.</t>
  </si>
  <si>
    <t>SERVIÇO: Concreto armado FCK= 20 MPA, preparo com betoneira, inclui lançamento.</t>
  </si>
  <si>
    <t>CONCRETO ARMADO FCK= 20MPA</t>
  </si>
  <si>
    <t>PISO CONCRETO ARMADO FCK=20MPA</t>
  </si>
  <si>
    <t>TOTAL PISO CONCRETO ARMADO FCK= 20MPA</t>
  </si>
  <si>
    <t>ALVENARIA, 1/2 VEZ, EM TIJOLO CERÂMICO</t>
  </si>
  <si>
    <t>Desmoldante para forma de madeira.</t>
  </si>
  <si>
    <t>Laje pre-moldada de piso convencional sobrecarga 200kg/m² vão até 3,50m</t>
  </si>
  <si>
    <t>CINTAMENTO INTERNO = MURETA - ESCAVAÇÃO DA SAPATA</t>
  </si>
  <si>
    <t>CINTAMENTO INTERNO - MURETA (menos pilares)</t>
  </si>
  <si>
    <t>PINTURA ACRILICA</t>
  </si>
  <si>
    <t>TOTAL PINTURA ACRILICA</t>
  </si>
  <si>
    <t>DEMARCAÇÃO ACESSO CADEIRANTES</t>
  </si>
  <si>
    <t>20.16</t>
  </si>
  <si>
    <t>SERVIÇO: Pintura com tinta acrílica para pisos em quadra poliesportiva.</t>
  </si>
  <si>
    <t xml:space="preserve">MEMÓRIA CÁLCULOS QUANTITATIVOS </t>
  </si>
  <si>
    <t>CHUMBAMENTO BASE / BICICLETÁRIO</t>
  </si>
  <si>
    <t>ALVENARIA - QUADRA</t>
  </si>
  <si>
    <t>ALVENARIA / ARQUIBANCADA</t>
  </si>
  <si>
    <t>ALVENARIA / QUADRA</t>
  </si>
  <si>
    <t>ALVENARIA EM TIJOLO CERÂMICO - ARQUIBANCADA LATERAIS</t>
  </si>
  <si>
    <t>VOLUME ESCAV. - VOLUME ESTRUTURA (CONCRETO 1:4:8 + CONCRETO 20MPA)</t>
  </si>
  <si>
    <t>PAREDES - ARQUIBANCADA</t>
  </si>
  <si>
    <t>PAREDES - MURETA</t>
  </si>
  <si>
    <t>DEMARÇÃO DE QUADRA - AMARELO</t>
  </si>
  <si>
    <t>DEMARÇÃO DE QUADRA - VERDE</t>
  </si>
  <si>
    <t>DEMARÇÃO DE QUADRA - AZUL</t>
  </si>
  <si>
    <t>0,15*0,50</t>
  </si>
  <si>
    <t>Eletroduto de pvc roscavel 25mm - 1"</t>
  </si>
  <si>
    <t>4.6</t>
  </si>
  <si>
    <t>17.01.15</t>
  </si>
  <si>
    <t>CALÇADA EM CONCRETO 1:4:8, E=4CM = ÁREA EXTERNA A QUADRA - ARQUIBANCADA</t>
  </si>
  <si>
    <t>Haste de aterramento com 3 m, dn = 5/8", em aço revestida com baixa camada de cobre com conector tipo grampo.</t>
  </si>
  <si>
    <t>4.7</t>
  </si>
  <si>
    <t>17.01.10</t>
  </si>
  <si>
    <t>Mobilização de equipamentos, materiais e pessoal de Petrolina/PE até localidade de realização da obra.</t>
  </si>
  <si>
    <t>Desmobilização de equipamentos, materiais e pessoal do local de realização da obra até Petrolina/PE.</t>
  </si>
  <si>
    <t>Instalação e montagem do Canteiro de Obras, conforme layout apresentado pela contratada e aceito pela fiscalização.</t>
  </si>
  <si>
    <t>Administração local, manutenção e conservação do canteiro de obras durante a realização do objeto do contrato.</t>
  </si>
  <si>
    <t>Reaterro manual de cavas e valas de fundação.</t>
  </si>
  <si>
    <t>Aplicação de chapisco em paredes preparado em argamassa de cimento e areia e areia no traço 1:3, incluindo fornecimento.</t>
  </si>
  <si>
    <t>Fornecimento e aplicação de Concreto armado FCK= 20 MPA, preparo com betoneira, inclusive preparo, lançamento e adensamento.</t>
  </si>
  <si>
    <t>Fornecimento, montagem e instalação de Corrimão confeccionado em tubo de aço galvanizado de 1 1/4" com braçadeira.</t>
  </si>
  <si>
    <t>Fornecimento, montagem e instalação de cabo de cobre isolado PVC resistente a chama  450/750 V 4 mm² .</t>
  </si>
  <si>
    <t>Locação convencional de obra, através de gabarito de tabuas corridas pontaletadas, com reaproveitamento de 10 vezes.</t>
  </si>
  <si>
    <t>Fornecimento e aplicação sobre paredes de reboco em argamassa de cimento, cal e areia fina peneirada, produzida no traço 1:4,5, com espessura de 2,00 cm, preparo mecânico.</t>
  </si>
  <si>
    <t>Fornecimento e aplicação de lastro de brita nº 2, com espessura mínima de 5,00 cm, sob o piso da quadra poliesportiva, incluindo transporte, espalhamento e apiloada manualmente com maço de 30 kg.</t>
  </si>
  <si>
    <t>Fornecimento de concreto simples, preparado em betoneira, produzido no traço 1:4:8 (cimento, areia e brita), incluindo preparo, lançamento e adensamento.</t>
  </si>
  <si>
    <t>ACESSORIOS DA QUADRA POLIESPORTIVA</t>
  </si>
  <si>
    <t>INSTALÇÃO ELETRICA DA QUADRA POLIESPORTIVA.</t>
  </si>
  <si>
    <t>Fornecimento, montagem e instalação de Eletroduto de PVC rígido de 25mm (1").</t>
  </si>
  <si>
    <t>Aplicação de duas demãos de pintura em tinta látex acrílica sobre as paredes internos/externos, previamente lixadas, seladas e emassadas.</t>
  </si>
  <si>
    <t>Pintura do pisos da quadra poliesportiva  em tinta acrílica sobre superfície previamente preparada.</t>
  </si>
  <si>
    <t>Demarcação e pintura das faixas do piso da quadra poliesportiva em tinta acrílica para pisos, aplicado sobre superfície previamente preparada incluindo fornecimento e aplicação.</t>
  </si>
  <si>
    <t>Aplicação de duas demãos de tinta esmalte sintético acetinado, sobre superfície de ferro previamente lixada e selada com 1 demão de zarcão próprio para esquadria de ferro galvanizado.</t>
  </si>
  <si>
    <t>Fornecimento, montagem e instalação de conjunto de estruturas para suporte da tabela de basquete, confeccionada conforme modelo em planta arquitetônica, incluindo tabelas de basquete confeccionada em laminado naval, pinturas, aros e redes.</t>
  </si>
  <si>
    <t>Fornecimento, montagem, instalação e teste de Refletor retangular fechado com lâmpada Vapor metálico de Potencia de 400w, incluindo reator e ignitor.</t>
  </si>
  <si>
    <t>PO - I (MODELO)</t>
  </si>
  <si>
    <t>Pontalete de madeira de 2ª qualidade 8 cm x 8 cm.</t>
  </si>
  <si>
    <t>SINAPI = 1,56 (73948/016)</t>
  </si>
  <si>
    <t>SINAPI = 18,74 (6430)</t>
  </si>
  <si>
    <t>SINAPI = 1,98 (74077002)</t>
  </si>
  <si>
    <t>SERVIÇO: Locação convencional de áreas para implantação da obras.</t>
  </si>
  <si>
    <t>SINAPI = 18,74 (73964/006)</t>
  </si>
  <si>
    <t>SINAPI = 21,44 (76445/002)</t>
  </si>
  <si>
    <t>SINAPI = 5,35 (5976)</t>
  </si>
  <si>
    <t>SINAPI = 8,59 (5995)</t>
  </si>
  <si>
    <t>SERVIÇO: Malha pop reforçada, espaçamento de 15 cm x 15 cm, diâmetro de 4,2 mm, fornecimento e colocação.</t>
  </si>
  <si>
    <t xml:space="preserve">SERVIÇO: Piso em concreto para quadras poliesportivas, concreto preparo mecânico FCK= 20MPA, espessura 8 cm, incluso polimento e juntas em poliuretano 2 m x 2 m.
</t>
  </si>
  <si>
    <t>SERVIÇO: Argamassa cimento e areia no traço 1:3.</t>
  </si>
  <si>
    <t>SERVIÇO: Chapisco em paredes, com argamassa de cimento e areia no traço 1:3.</t>
  </si>
  <si>
    <t>SERVIÇO: Escavação manual de cavas (fundações rasas = 1,50 m).</t>
  </si>
  <si>
    <t>SERVIÇO :Limpeza do terreno - Raspagem e limpeza manual.</t>
  </si>
  <si>
    <t>SERVIÇO : Placa de identificação de obra, incluindo Fornecimento, instalação e manutenção.</t>
  </si>
  <si>
    <t>SERVIÇO: Laje pré-moldada para piso, sobrecarga 200kg/m², vãos ate 3,50, E=8cm, com lajotas e cap. Com concreto FCK=20MPA, 4cm, inter-eixo 38cm, com escoramento (reaproveitamento. 3x) e ferragem negativa.</t>
  </si>
  <si>
    <t>Concreto estrutural Fck=20mpa</t>
  </si>
  <si>
    <r>
      <t>SERVIÇO: Concreto estrutural Fck=20mpa, virado em betoneira, na obra, inclusive vibração e</t>
    </r>
    <r>
      <rPr>
        <sz val="10"/>
        <color indexed="10"/>
        <rFont val="Times New Roman"/>
        <family val="1"/>
      </rPr>
      <t xml:space="preserve"> </t>
    </r>
    <r>
      <rPr>
        <sz val="10"/>
        <rFont val="Times New Roman"/>
        <family val="1"/>
      </rPr>
      <t xml:space="preserve">lançamento </t>
    </r>
  </si>
  <si>
    <t>Vibrador de imersão com motor diesel 4,5HP, diâmetro 48mm com mangote.</t>
  </si>
  <si>
    <t>SERVIÇO: Pintura látex acrílica ambiente internos/externos, duas demãos.</t>
  </si>
  <si>
    <t>Tinta látex acrílica</t>
  </si>
  <si>
    <t>Solvente diluente a base de aguarrás</t>
  </si>
  <si>
    <t>gal.</t>
  </si>
  <si>
    <t>Eletrodo AWS E-6010 (0K 22.50; WI 610) d = 4mm ( Solda elétrica )</t>
  </si>
  <si>
    <t>Galvite - primer para superfície galvanizada</t>
  </si>
  <si>
    <t>Calha Chapa Galvanizada nº 26 dimensões 20cm x 20cm.</t>
  </si>
  <si>
    <t>SERVIÇO : Fornecimento e assentamento de mastros para vôlei, móvel, em tubo galvanizado, pintado com tinta esmalte, inclusive redes.</t>
  </si>
  <si>
    <t>Rede de vôlei, padrão oficial</t>
  </si>
  <si>
    <t>Parafuso francês zincado 1/2" X 15" com porca e arruela lisa/média.</t>
  </si>
  <si>
    <t>Parafuso francês zincado 1/2" X 4" com porca e arruela.</t>
  </si>
  <si>
    <t>SERVIÇO : Refletor retangular fechado com lâmpada vapor metálico 400W.</t>
  </si>
  <si>
    <t>Reator p/ 1 lâmpada vapor de mercúrio 400W uso externo</t>
  </si>
  <si>
    <t>Projetor retangular fechado p/ lâmpada vapor de mercúrio/sódio 250W a 500W, cabeceiras em alumínio fundido, corpo em alumínio anodizado, para lâmpada E40 fechamento em vidro temperado.</t>
  </si>
  <si>
    <t>SERVIÇO: Alambrado para quadra poliesportiva, estruturada em tubo de aço galv. c/ costura diâmetro 2440, diâmetro 2", e tela em arame galvanizado  14 BWG, malha quadrada com abertura de 2".</t>
  </si>
  <si>
    <t>Tubo aço galv. Diâmetro 2", e=3,65mm - 5,10kg/m</t>
  </si>
  <si>
    <t>Cj.</t>
  </si>
  <si>
    <t>Tubo aço galvanizado com costura diâmetro 2440 / NBR 5580 classe média DN 2" (50mm) E=3,65mm - 5,10kg/m</t>
  </si>
  <si>
    <t>Tubo aço galvanizado c/ costura diâmetro 2440/NBR 5580 classe média DN 2.1/2" (65mm) E=3,65mm - 6,51kg/m</t>
  </si>
  <si>
    <t>Fornecimento, montagem e instalação de aterramento do circuito elétrico confeccionado em Haste Copperweld 5/8 X 3,0m com cabos de cobre nu e conectores.</t>
  </si>
  <si>
    <t>Fornecimento e instalação de caixa de inspeção em concreto pré-moldado DN 60mm com tampa e profundidade de 60 cm.</t>
  </si>
  <si>
    <t>Fornecimento, montagem e instalação de Poste de concreto armado com comprimento de 7,0 m, e capacidade de carga nominal topo de 100kg.</t>
  </si>
  <si>
    <t>Fornecimento e instalação de quadro de distribuição de energia, confeccionado em chapa metálica, para no mínimo 6 disjuntores termomagnéticos monopolares, dispositivo para chave geral, com porta, barramentos fases, barramento neutro e disjuntores.</t>
  </si>
  <si>
    <t>Fornecimento, montagem e instalação de Conjunto de traves para futsal, produzida em tubo de aço galvanizado com costura DIN 2440/NBR 5580 classe média, DN 4", DN 3" e DN 1/2", conforme modelo em planta, inclusive pintura e redes.</t>
  </si>
  <si>
    <t>Fornecimento e montagem do alambrado de proteção da quadra poliesportiva, produzido em estruturada constituídas de tubo de aço galvanizado com costura DIN 2440, diâmetro de 2", e de tela em arame galvanizado  14 BWG, malha quadrada com abertura de 2".</t>
  </si>
  <si>
    <t>Fornecimento, montagem e instalação de Laje pré-moldada para piso, com capacidade de sobrecarga mínima de 200kg/m², vãos de até 3,50 m, espessura de 8,00 cm, com nervuras e lajotas confeccionadas em concreto armado com FCK=20MPA, recobrimetno minimo de 4 cm, distancia inter-eixo de 38 cm, incluindo escoramento (reaproveitamento de 3x) e ferragem negativa.</t>
  </si>
  <si>
    <t>Execução de calçada em concreto convencional preparado no traço 1:4:8, preparo mecânico, espessura minima de  4 cm, com acabamento desempenado.</t>
  </si>
  <si>
    <t>Fornecimento de Malha pop reforçada, com tela em malha de espaçamento 15 cm x 15 cm, em ferro de diâmetro de 4,2 mm, incluindo fornecimento, transporte, corte e colocação.</t>
  </si>
  <si>
    <t>Fornecimento e aplicação de piso em concreto armado para quadras poliesportivas, confeccionado em concreto preparado mecanicamente, com Fck=20mpa, espessura mínima de 8 cm, incluso preparado, lançamento, adensamento, polimento e juntas em poliuretano instalada de 2m x 2m.</t>
  </si>
  <si>
    <t>Escavação manual de cavas e valas de fundação com profundidade de até 1,50m.</t>
  </si>
  <si>
    <t>Limpeza e raspagem manual do terreno onde será construídas as quadras poliesportivas.</t>
  </si>
  <si>
    <t>mês.</t>
  </si>
  <si>
    <t>2.1</t>
  </si>
  <si>
    <t>2.2</t>
  </si>
  <si>
    <t>2.3</t>
  </si>
  <si>
    <t>2.4</t>
  </si>
  <si>
    <t>2.5</t>
  </si>
  <si>
    <t>2.6</t>
  </si>
  <si>
    <t>2.7</t>
  </si>
  <si>
    <t>2.8</t>
  </si>
  <si>
    <t>2.9</t>
  </si>
  <si>
    <t>2.10</t>
  </si>
  <si>
    <t>2.11</t>
  </si>
  <si>
    <t>2.12</t>
  </si>
  <si>
    <t>2.13</t>
  </si>
  <si>
    <t>2.14</t>
  </si>
  <si>
    <t>2.15</t>
  </si>
  <si>
    <t>2.16</t>
  </si>
  <si>
    <t>2.17</t>
  </si>
  <si>
    <t>Poste de concreto, capacidade de carga de 100kg, altura de h = 7m de acordo com NBR 8451.</t>
  </si>
  <si>
    <t>SERVIÇO : Poste de concreto armado com altura de 7,0 m, e capacidade de carga nominal topo de 100 kg.</t>
  </si>
  <si>
    <t>SERVIÇO : Caixa de inspeção em concreto pré-moldado DN 60mm com tampa de concreto e profundidade de h=60cm, fornecimento e instalação.</t>
  </si>
  <si>
    <t>Quadro de distribuição de embutir com barramento para 3 disjuntores unipolares, em chapa de aço galvanizado Galvanizado.</t>
  </si>
  <si>
    <t>Eletroduto de PVC roscavel de 25mm - 1"</t>
  </si>
  <si>
    <t>SERVIÇO :Eletroduto de PVC de DN = 25mm (1") - Fornecimento e instalação</t>
  </si>
  <si>
    <t>SERVIÇO :Cabo de cobre com cobertura em PVC resistente a chama, 4mm2 - Fornecimento e instalação</t>
  </si>
  <si>
    <t>Cabo de cobre isolamento de PVC resistente a chama 450/750 com bitola de  4mm², flexível, tipo floresplast alcoa ou equivalente.</t>
  </si>
  <si>
    <t>Máquina para solda elétrica tipo bambina TIG 30 ac/dc da bambozzi ou equivalente.</t>
  </si>
  <si>
    <t>Tabela basquete laminado naval 180 cm x 120 cm com aro metal e rede (conjunto com 02 tabelas)</t>
  </si>
  <si>
    <t>Máquina para solda elétrica tipo bambina TIG 30 ac/dc da bambozzi ou equivalente</t>
  </si>
  <si>
    <t>Tubo aço galvanizado com costura diâmetro 240/NBR 5580 classe média DN 1/2" (15mm) E = 2,65mm - 1,22kg/m</t>
  </si>
  <si>
    <t>Tubo aço galvanizado com costura diâmetro 2440/NBR 5580 classe média DN 3" (80mm) E= 4,05mm - 8,47kg/m</t>
  </si>
  <si>
    <t>Tubo aço galvanizado com costura diâmetro 2440/NBR 5580 classe média DN 4" (100mm) E= 4,50mm - 12,10kg/m</t>
  </si>
  <si>
    <t>Rodizio latão 6 mm com rolamento tipo SKF ou similar.</t>
  </si>
  <si>
    <t>Braçadeira com parafuso diâmetro de 1 1/4"</t>
  </si>
  <si>
    <t>Tubo aço galvanizado, diâmetro de 1 1/4" (32mm), E=3,25mm - 3,14kg/m.</t>
  </si>
  <si>
    <t>Utilitário CS 1.6 flex  (G5)</t>
  </si>
  <si>
    <t>Fornecimento, instalação e conservação de Placa de identificação de obra com as dimensões de 3,0 m x 2,0 m conforme modelo fornecido pela CODEVASF.</t>
  </si>
  <si>
    <t>Alvenaria de 1/2 vez em tijolo cerâmico furado de 8 furos com as dimensões 10 cm x 20 cm x 30 cm, assentado com argamassa de cimento e areai produzida no traço 1:7.</t>
  </si>
  <si>
    <t>Fornecimento, montagem e assentamento de mastros para vôlei, móvel, confeccionado em tubo de ferro galvanizado de 2" e 2 ½”, pintado com tinta esmalte sintético, inclusive redes, padrão oficial.</t>
  </si>
  <si>
    <t>A5</t>
  </si>
  <si>
    <t>A6</t>
  </si>
  <si>
    <t>A7</t>
  </si>
  <si>
    <t>A8</t>
  </si>
  <si>
    <t>A9</t>
  </si>
  <si>
    <t>Repouso Semanal Remunerado</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</si>
  <si>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</si>
  <si>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</si>
  <si>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</si>
  <si>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</si>
  <si>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</si>
  <si>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</si>
  <si>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</si>
  <si>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</si>
  <si>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</si>
  <si>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</si>
  <si>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</si>
  <si>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</si>
  <si>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</si>
  <si>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</si>
  <si>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</si>
  <si>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</si>
  <si>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</si>
  <si>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Aviso Prévio Indenizado</t>
  </si>
  <si>
    <t>Aviso Prévio Trabalhado</t>
  </si>
  <si>
    <t>C3</t>
  </si>
  <si>
    <t>Férias Indenizadas</t>
  </si>
  <si>
    <t>C4</t>
  </si>
  <si>
    <t>Depósito Rescisão Sem Justa Causa</t>
  </si>
  <si>
    <t>C5</t>
  </si>
  <si>
    <t>Indenização Adicional</t>
  </si>
  <si>
    <t>Reincidência de "A" sobre "B"</t>
  </si>
  <si>
    <t>Reincidência de Grupo A sobre Aviso Prévio Trabalhado e
Reincidência do FGTS sobre Aviso Prévio Indenizado</t>
  </si>
  <si>
    <t>CONSTRUÇÃO DE (01) PÁTIO DE MÚLTIPLO USO PARA EVENTOS NA COMUNIDADE DE ROÇADO, NA ZONA RURAL DO MUNICIPIO DE PETROLINA, ESTADO DE PERNAMBUCANO, EM ÁREA DE ATUAÇÃO DA CODEVASF/3ªSR.</t>
  </si>
  <si>
    <t>EXECUÇÃO DAS OBRAS E SERVIÇOS RELATIVOS A CONSTRUÇÃO DE (01) PÁTIO DE MÚLTIPLO USO PARA EVENTOS NA COMUNIDADE DA ILHA DA ASSUNÇÃO, NA ZONA RURAL DO MUNICIPIO DE CABROBÓ, ESTADO DE PERNAMBUCANO, EM ÁREA DE ATUAÇÃO DA CODEVASF/3ªSR.</t>
  </si>
  <si>
    <t>OBRA: Construção de Pátio Múltiplo Uso para Eventos na Comunidade da Ilha da Assunção, Zona Rural do Município de Cabrobó/PE.</t>
  </si>
  <si>
    <t>DATA: Agosto/2013</t>
  </si>
  <si>
    <t>Aluguel de casa na Zona Rural do Município de Cabrobó</t>
  </si>
  <si>
    <t>ROL DE INSUMOS NECESSÁRIOS ÀS COMPOSIÇÕES DOS SERVIÇOS OBJETOS DESTA PLANILHA E SEUS RESPECTIVOS PREÇOS EXTRAÍDOS DO SINAPI NA DATA BASE AGOSTO/2013</t>
  </si>
  <si>
    <t xml:space="preserve">Leis Sociais HORISTAS </t>
  </si>
  <si>
    <t xml:space="preserve">Leis Sociais MENSALISTAS </t>
  </si>
  <si>
    <t>Tabua de madeira 3A qualidade 2,5cm x 25,0cm (1X9") não aparelhada.</t>
  </si>
  <si>
    <t>Armação de aço CA 50, 1/4" (6,35 mm), incl.  fornecimento e colocação</t>
  </si>
  <si>
    <t>Armação de aço CA 60 - 5,00 mm, incl. fornecimento e colocação</t>
  </si>
  <si>
    <t>SINAPI AGOSTO/2013</t>
  </si>
  <si>
    <t>SERVIÇO : Aterramento com Haste Copperweld de 5/8" x 3,0 m com conector.</t>
  </si>
  <si>
    <t>CABROBÓ - PE /AGOSTO 2013</t>
  </si>
  <si>
    <t>m3</t>
  </si>
  <si>
    <t>05.07</t>
  </si>
  <si>
    <t>Compactação mecanizada de aterros, com grau mínimo de 95 % do PN</t>
  </si>
  <si>
    <t>ATERRO COMPACTADO</t>
  </si>
  <si>
    <t>ÁREA DA LOCAÇÃO</t>
  </si>
  <si>
    <t>TOTAL ATERRO COMPACTADO</t>
  </si>
  <si>
    <t>GRADE ARADORA COM 24 DISCOS DE 24" SOBRE PNEUS</t>
  </si>
  <si>
    <t>TRATOR DE PNEUS 110 A 126 HP</t>
  </si>
  <si>
    <t>CAMINHAO PIPA 10000L TRUCADO, 208CV - 21,1T (VU=6ANOS) (INCLUI TANQUE DE ACO PARA TRANSPORTE DE AGUA E MOTOBOMBA CENTRIFUGA A GASOLINA 3,5CV</t>
  </si>
  <si>
    <t>MOTONIVELADORA CATERPILLAR 120 140HP (VU=6ANOS)</t>
  </si>
  <si>
    <t>ROLO COMPACTADOR VIBRATÓRIO DE UM CILINDRO AÇO LISO, POTÊNCIA 80 HP, PESO OPERACIONAL 8,1T</t>
  </si>
  <si>
    <t>2.18</t>
  </si>
  <si>
    <t xml:space="preserve">Caixa para medição de energia completo monofásico, inclusive haste de aterramento, condutores, conectores, eletroduto, caixa para disjuntor, bucha, arruela e tubo, padrão CELPE. </t>
  </si>
  <si>
    <t>Argamassa preparada com cimento e areia na proporção de 1:3.</t>
  </si>
  <si>
    <t>Eletricista ou Oficial Eletricista</t>
  </si>
  <si>
    <t xml:space="preserve">Ajudante </t>
  </si>
  <si>
    <t>4.8</t>
  </si>
  <si>
    <t>Haste de aterramento tipo Copperweld com 3 m, diâmetro de 5/8", em aço revestida com baixa camada de cobre com conector tipo grampo e conectores de pressão.</t>
  </si>
  <si>
    <t xml:space="preserve">Caixa para medição de energia completo monofásico, inclusive haste de aterramento, condutores, conectores, caixa para disjuntor, bucha, arruela e tubo, padrão CELPE.  </t>
  </si>
  <si>
    <t>LOCAÇÃO = LIMPEZA DO TERRENO = REGULARIZAÇÃO DE ÁREA</t>
  </si>
  <si>
    <t>2.19</t>
  </si>
  <si>
    <t>Regularização da superfície com motoniveladora</t>
  </si>
  <si>
    <t>h prod</t>
  </si>
  <si>
    <t>h impr</t>
  </si>
  <si>
    <t>02.01.12</t>
  </si>
  <si>
    <t>SERVIÇO : Regularização da superfície com motoniveladora</t>
  </si>
  <si>
    <t>SERVIÇO : Compactação mecanizada de aterros, com grau mínimo de 95 % do PN</t>
  </si>
  <si>
    <t>CABROBÓ - PE</t>
  </si>
  <si>
    <t>CAMINHAO CAVALO MECANICO C/ CARRETA PRANCHA CAP 20T (INCL MANUT/OPERACAO)</t>
  </si>
  <si>
    <t>Passagem de ônibus para Petrolina da localidade de realização da obra.</t>
  </si>
  <si>
    <t>Passagem de ônibus de Petrolina à localidade de realização da obra.</t>
  </si>
  <si>
    <t>Cabo de cobre isolamento anti-chama 450/750 10mm², flexivel, tp floresplast alcoa ou equivalente.</t>
  </si>
  <si>
    <t>SERVIÇO: Fornecimento e montagem de quadro de medição no padrão CELPE para 3 ou 4 fios, inclusive haste de aterramento, condutores, conectores, eletroduto, caixa para disjuntor, bucha, arruela e tubo e ligação até 20m.</t>
  </si>
  <si>
    <t>Fornecimento e montagem de quadro de medição no padrão CELPE para 3 ou 4 fios, inclusive haste de aterramento, condutores, conectores, eletroduto, caixa para disjuntor, bucha, arruela, tubo e ligação até 20m.</t>
  </si>
  <si>
    <t>Passagem rodoviária Petrolina - Cabrobó</t>
  </si>
</sst>
</file>

<file path=xl/styles.xml><?xml version="1.0" encoding="utf-8"?>
<styleSheet xmlns="http://schemas.openxmlformats.org/spreadsheetml/2006/main">
  <numFmts count="14">
    <numFmt numFmtId="164" formatCode="_-* #,##0.00_-;\-* #,##0.00_-;_-* &quot;-&quot;??_-;_-@_-"/>
    <numFmt numFmtId="165" formatCode="_(&quot;R$ &quot;* #,##0_);_(&quot;R$ &quot;* \(#,##0\);_(&quot;R$ &quot;* \-_);_(@_)"/>
    <numFmt numFmtId="166" formatCode="#,##0.000000"/>
    <numFmt numFmtId="167" formatCode="#,##0.00000"/>
    <numFmt numFmtId="168" formatCode="_-* #,##0.00_-;\-* #,##0.00_-;_-* \-??_-;_-@_-"/>
    <numFmt numFmtId="169" formatCode="0.000"/>
    <numFmt numFmtId="170" formatCode="&quot;R$ &quot;#,##0.00"/>
    <numFmt numFmtId="171" formatCode="_(&quot;R$ &quot;* #,##0.00_);_(&quot;R$ &quot;* \(#,##0.00\);_(&quot;R$ &quot;* \-??_);_(@_)"/>
    <numFmt numFmtId="172" formatCode="0.0000"/>
    <numFmt numFmtId="173" formatCode="_(* #,##0.00_);_(* \(#,##0.00\);_(* \-??_);_(@_)"/>
    <numFmt numFmtId="174" formatCode="0.00000"/>
    <numFmt numFmtId="175" formatCode="#,##0.0000"/>
    <numFmt numFmtId="176" formatCode="0.000%"/>
    <numFmt numFmtId="177" formatCode="#,##0.00\ ;&quot; (&quot;#,##0.00\);&quot; -&quot;#\ ;@\ "/>
  </numFmts>
  <fonts count="38">
    <font>
      <sz val="10"/>
      <name val="Arial"/>
      <family val="2"/>
    </font>
    <font>
      <sz val="10"/>
      <name val="Courier New"/>
      <family val="3"/>
    </font>
    <font>
      <sz val="11"/>
      <color indexed="8"/>
      <name val="Calibri"/>
      <family val="2"/>
    </font>
    <font>
      <b/>
      <sz val="15"/>
      <color indexed="62"/>
      <name val="Calibri"/>
      <family val="2"/>
    </font>
    <font>
      <b/>
      <sz val="11"/>
      <name val="Arial"/>
      <family val="2"/>
    </font>
    <font>
      <b/>
      <sz val="9"/>
      <name val="Arial"/>
      <family val="2"/>
    </font>
    <font>
      <b/>
      <sz val="10"/>
      <name val="Arial"/>
      <family val="2"/>
    </font>
    <font>
      <sz val="11"/>
      <name val="Arial"/>
      <family val="2"/>
    </font>
    <font>
      <b/>
      <sz val="14"/>
      <name val="Arial"/>
      <family val="2"/>
    </font>
    <font>
      <b/>
      <sz val="10"/>
      <name val="Times New Roman"/>
      <family val="1"/>
    </font>
    <font>
      <sz val="10"/>
      <name val="Times New Roman"/>
      <family val="1"/>
    </font>
    <font>
      <sz val="9"/>
      <name val="Arial"/>
      <family val="2"/>
    </font>
    <font>
      <b/>
      <sz val="12"/>
      <name val="Times New Roman"/>
      <family val="1"/>
    </font>
    <font>
      <sz val="8"/>
      <name val="Arial"/>
      <family val="2"/>
    </font>
    <font>
      <b/>
      <sz val="8"/>
      <name val="Arial"/>
      <family val="2"/>
    </font>
    <font>
      <b/>
      <u/>
      <sz val="10"/>
      <name val="Arial"/>
      <family val="2"/>
    </font>
    <font>
      <sz val="10"/>
      <name val="Arial"/>
      <family val="2"/>
    </font>
    <font>
      <b/>
      <sz val="12"/>
      <color indexed="56"/>
      <name val="Times New Roman"/>
      <family val="1"/>
    </font>
    <font>
      <sz val="10"/>
      <color indexed="8"/>
      <name val="Times New Roman"/>
      <family val="1"/>
    </font>
    <font>
      <sz val="8"/>
      <color indexed="8"/>
      <name val="Times New Roman"/>
      <family val="1"/>
    </font>
    <font>
      <sz val="12"/>
      <name val="Times New Roman"/>
      <family val="1"/>
    </font>
    <font>
      <sz val="11"/>
      <color indexed="8"/>
      <name val="Times New Roman"/>
      <family val="1"/>
    </font>
    <font>
      <sz val="11"/>
      <name val="Times New Roman"/>
      <family val="1"/>
    </font>
    <font>
      <sz val="10"/>
      <color indexed="10"/>
      <name val="Times New Roman"/>
      <family val="1"/>
    </font>
    <font>
      <b/>
      <sz val="14"/>
      <name val="Times New Roman"/>
      <family val="1"/>
    </font>
    <font>
      <b/>
      <sz val="11"/>
      <name val="Times New Roman"/>
      <family val="1"/>
    </font>
    <font>
      <b/>
      <sz val="11"/>
      <color indexed="8"/>
      <name val="Times New Roman"/>
      <family val="1"/>
    </font>
    <font>
      <sz val="14"/>
      <name val="Times New Roman"/>
      <family val="1"/>
    </font>
    <font>
      <sz val="12"/>
      <color indexed="8"/>
      <name val="Times New Roman"/>
      <family val="1"/>
    </font>
    <font>
      <b/>
      <sz val="13"/>
      <name val="Arial"/>
      <family val="2"/>
    </font>
    <font>
      <b/>
      <i/>
      <sz val="12"/>
      <color indexed="48"/>
      <name val="Times New Roman"/>
      <family val="1"/>
    </font>
    <font>
      <b/>
      <sz val="12"/>
      <name val="Arial"/>
      <family val="2"/>
    </font>
    <font>
      <b/>
      <sz val="11"/>
      <color theme="1"/>
      <name val="Calibri"/>
      <family val="2"/>
      <scheme val="minor"/>
    </font>
    <font>
      <b/>
      <sz val="10"/>
      <name val="Calibri"/>
      <family val="2"/>
      <scheme val="minor"/>
    </font>
    <font>
      <sz val="10"/>
      <name val="Calibri"/>
      <family val="2"/>
      <scheme val="minor"/>
    </font>
    <font>
      <b/>
      <sz val="10"/>
      <color theme="1"/>
      <name val="Calibri"/>
      <family val="2"/>
      <scheme val="minor"/>
    </font>
    <font>
      <sz val="8"/>
      <name val="Calibri"/>
      <family val="2"/>
      <scheme val="minor"/>
    </font>
    <font>
      <b/>
      <sz val="14"/>
      <name val="Calibri"/>
      <family val="2"/>
      <scheme val="minor"/>
    </font>
  </fonts>
  <fills count="13">
    <fill>
      <patternFill patternType="none"/>
    </fill>
    <fill>
      <patternFill patternType="gray125"/>
    </fill>
    <fill>
      <patternFill patternType="solid">
        <fgColor indexed="22"/>
        <bgColor indexed="44"/>
      </patternFill>
    </fill>
    <fill>
      <patternFill patternType="solid">
        <fgColor indexed="9"/>
        <bgColor indexed="26"/>
      </patternFill>
    </fill>
    <fill>
      <patternFill patternType="solid">
        <fgColor indexed="42"/>
        <bgColor indexed="41"/>
      </patternFill>
    </fill>
    <fill>
      <patternFill patternType="solid">
        <fgColor indexed="54"/>
        <bgColor indexed="23"/>
      </patternFill>
    </fill>
    <fill>
      <patternFill patternType="solid">
        <fgColor indexed="55"/>
        <bgColor indexed="23"/>
      </patternFill>
    </fill>
    <fill>
      <patternFill patternType="solid">
        <fgColor indexed="65"/>
        <bgColor indexed="64"/>
      </patternFill>
    </fill>
    <fill>
      <patternFill patternType="solid">
        <fgColor indexed="42"/>
        <bgColor indexed="27"/>
      </patternFill>
    </fill>
    <fill>
      <patternFill patternType="solid">
        <fgColor indexed="13"/>
        <bgColor indexed="34"/>
      </patternFill>
    </fill>
    <fill>
      <patternFill patternType="solid">
        <fgColor indexed="22"/>
        <bgColor indexed="31"/>
      </patternFill>
    </fill>
    <fill>
      <patternFill patternType="solid">
        <fgColor theme="8"/>
        <bgColor indexed="64"/>
      </patternFill>
    </fill>
    <fill>
      <patternFill patternType="solid">
        <fgColor rgb="FFFFFF00"/>
        <bgColor indexed="64"/>
      </patternFill>
    </fill>
  </fills>
  <borders count="139">
    <border>
      <left/>
      <right/>
      <top/>
      <bottom/>
      <diagonal/>
    </border>
    <border>
      <left/>
      <right/>
      <top/>
      <bottom style="thick">
        <color indexed="48"/>
      </bottom>
      <diagonal/>
    </border>
    <border>
      <left style="thin">
        <color indexed="8"/>
      </left>
      <right style="thin">
        <color indexed="8"/>
      </right>
      <top style="medium">
        <color indexed="8"/>
      </top>
      <bottom/>
      <diagonal/>
    </border>
    <border>
      <left/>
      <right style="medium">
        <color indexed="8"/>
      </right>
      <top style="medium">
        <color indexed="8"/>
      </top>
      <bottom/>
      <diagonal/>
    </border>
    <border>
      <left style="thin">
        <color indexed="8"/>
      </left>
      <right style="thin">
        <color indexed="8"/>
      </right>
      <top/>
      <bottom style="medium">
        <color indexed="8"/>
      </bottom>
      <diagonal/>
    </border>
    <border>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right style="medium">
        <color indexed="8"/>
      </right>
      <top/>
      <bottom/>
      <diagonal/>
    </border>
    <border>
      <left style="thin">
        <color indexed="8"/>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style="medium">
        <color indexed="8"/>
      </left>
      <right style="medium">
        <color indexed="8"/>
      </right>
      <top/>
      <bottom/>
      <diagonal/>
    </border>
    <border>
      <left style="thin">
        <color indexed="8"/>
      </left>
      <right style="thin">
        <color indexed="8"/>
      </right>
      <top/>
      <bottom style="thin">
        <color indexed="8"/>
      </bottom>
      <diagonal/>
    </border>
    <border>
      <left/>
      <right/>
      <top/>
      <bottom style="thin">
        <color indexed="8"/>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8"/>
      </bottom>
      <diagonal/>
    </border>
    <border>
      <left style="thin">
        <color indexed="8"/>
      </left>
      <right style="medium">
        <color indexed="64"/>
      </right>
      <top style="thin">
        <color indexed="8"/>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8"/>
      </left>
      <right style="medium">
        <color indexed="8"/>
      </right>
      <top style="medium">
        <color indexed="8"/>
      </top>
      <bottom/>
      <diagonal/>
    </border>
    <border>
      <left style="medium">
        <color indexed="64"/>
      </left>
      <right/>
      <top style="medium">
        <color indexed="8"/>
      </top>
      <bottom/>
      <diagonal/>
    </border>
    <border>
      <left/>
      <right style="medium">
        <color indexed="64"/>
      </right>
      <top style="medium">
        <color indexed="8"/>
      </top>
      <bottom/>
      <diagonal/>
    </border>
    <border>
      <left style="medium">
        <color indexed="64"/>
      </left>
      <right style="medium">
        <color indexed="8"/>
      </right>
      <top/>
      <bottom/>
      <diagonal/>
    </border>
    <border>
      <left style="medium">
        <color indexed="8"/>
      </left>
      <right style="medium">
        <color indexed="64"/>
      </right>
      <top/>
      <bottom/>
      <diagonal/>
    </border>
    <border>
      <left style="medium">
        <color indexed="64"/>
      </left>
      <right style="medium">
        <color indexed="8"/>
      </right>
      <top/>
      <bottom style="medium">
        <color indexed="64"/>
      </bottom>
      <diagonal/>
    </border>
    <border>
      <left style="medium">
        <color indexed="8"/>
      </left>
      <right style="medium">
        <color indexed="64"/>
      </right>
      <top/>
      <bottom style="medium">
        <color indexed="64"/>
      </bottom>
      <diagonal/>
    </border>
    <border>
      <left style="medium">
        <color indexed="64"/>
      </left>
      <right style="thin">
        <color indexed="8"/>
      </right>
      <top/>
      <bottom style="thin">
        <color indexed="8"/>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8"/>
      </left>
      <right style="thin">
        <color indexed="8"/>
      </right>
      <top style="thin">
        <color indexed="8"/>
      </top>
      <bottom style="thin">
        <color indexed="64"/>
      </bottom>
      <diagonal/>
    </border>
    <border>
      <left style="medium">
        <color indexed="64"/>
      </left>
      <right style="thin">
        <color indexed="8"/>
      </right>
      <top style="medium">
        <color indexed="64"/>
      </top>
      <bottom style="medium">
        <color indexed="64"/>
      </bottom>
      <diagonal/>
    </border>
    <border>
      <left style="medium">
        <color indexed="64"/>
      </left>
      <right style="thin">
        <color indexed="8"/>
      </right>
      <top/>
      <bottom style="medium">
        <color indexed="64"/>
      </bottom>
      <diagonal/>
    </border>
    <border>
      <left style="thin">
        <color indexed="8"/>
      </left>
      <right style="medium">
        <color indexed="64"/>
      </right>
      <top style="thin">
        <color indexed="8"/>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medium">
        <color indexed="64"/>
      </left>
      <right style="thin">
        <color indexed="64"/>
      </right>
      <top style="thin">
        <color indexed="64"/>
      </top>
      <bottom style="medium">
        <color indexed="64"/>
      </bottom>
      <diagonal/>
    </border>
    <border>
      <left style="medium">
        <color indexed="64"/>
      </left>
      <right/>
      <top style="thin">
        <color indexed="8"/>
      </top>
      <bottom/>
      <diagonal/>
    </border>
    <border>
      <left style="thin">
        <color indexed="8"/>
      </left>
      <right style="medium">
        <color indexed="64"/>
      </right>
      <top style="medium">
        <color indexed="64"/>
      </top>
      <bottom style="medium">
        <color indexed="64"/>
      </bottom>
      <diagonal/>
    </border>
    <border>
      <left style="thin">
        <color indexed="8"/>
      </left>
      <right style="thin">
        <color indexed="8"/>
      </right>
      <top style="thin">
        <color indexed="8"/>
      </top>
      <bottom style="medium">
        <color indexed="64"/>
      </bottom>
      <diagonal/>
    </border>
    <border>
      <left style="medium">
        <color indexed="64"/>
      </left>
      <right style="thin">
        <color indexed="8"/>
      </right>
      <top style="thin">
        <color indexed="8"/>
      </top>
      <bottom style="thin">
        <color indexed="64"/>
      </bottom>
      <diagonal/>
    </border>
    <border>
      <left style="thin">
        <color indexed="8"/>
      </left>
      <right/>
      <top style="thin">
        <color indexed="8"/>
      </top>
      <bottom/>
      <diagonal/>
    </border>
    <border>
      <left style="medium">
        <color indexed="64"/>
      </left>
      <right style="thin">
        <color indexed="64"/>
      </right>
      <top style="thin">
        <color indexed="64"/>
      </top>
      <bottom/>
      <diagonal/>
    </border>
    <border>
      <left style="thin">
        <color indexed="64"/>
      </left>
      <right style="thin">
        <color indexed="64"/>
      </right>
      <top style="thin">
        <color indexed="8"/>
      </top>
      <bottom style="thin">
        <color indexed="64"/>
      </bottom>
      <diagonal/>
    </border>
    <border>
      <left/>
      <right style="thin">
        <color indexed="8"/>
      </right>
      <top style="thin">
        <color indexed="8"/>
      </top>
      <bottom style="thin">
        <color indexed="64"/>
      </bottom>
      <diagonal/>
    </border>
    <border>
      <left/>
      <right style="medium">
        <color indexed="64"/>
      </right>
      <top style="thin">
        <color indexed="8"/>
      </top>
      <bottom/>
      <diagonal/>
    </border>
    <border>
      <left/>
      <right/>
      <top style="thin">
        <color indexed="8"/>
      </top>
      <bottom style="thin">
        <color indexed="8"/>
      </bottom>
      <diagonal/>
    </border>
    <border>
      <left style="thin">
        <color indexed="8"/>
      </left>
      <right/>
      <top style="medium">
        <color indexed="64"/>
      </top>
      <bottom style="medium">
        <color indexed="64"/>
      </bottom>
      <diagonal/>
    </border>
    <border>
      <left/>
      <right/>
      <top style="medium">
        <color indexed="64"/>
      </top>
      <bottom style="medium">
        <color indexed="64"/>
      </bottom>
      <diagonal/>
    </border>
    <border>
      <left/>
      <right style="thin">
        <color indexed="8"/>
      </right>
      <top style="medium">
        <color indexed="64"/>
      </top>
      <bottom style="medium">
        <color indexed="64"/>
      </bottom>
      <diagonal/>
    </border>
    <border>
      <left style="medium">
        <color indexed="64"/>
      </left>
      <right style="thin">
        <color indexed="8"/>
      </right>
      <top/>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thin">
        <color indexed="64"/>
      </left>
      <right/>
      <top style="medium">
        <color indexed="64"/>
      </top>
      <bottom style="medium">
        <color indexed="64"/>
      </bottom>
      <diagonal/>
    </border>
    <border>
      <left style="medium">
        <color indexed="64"/>
      </left>
      <right/>
      <top/>
      <bottom style="thin">
        <color indexed="8"/>
      </bottom>
      <diagonal/>
    </border>
    <border>
      <left/>
      <right style="thin">
        <color indexed="8"/>
      </right>
      <top/>
      <bottom style="thin">
        <color indexed="8"/>
      </bottom>
      <diagonal/>
    </border>
    <border>
      <left style="thin">
        <color indexed="8"/>
      </left>
      <right/>
      <top/>
      <bottom/>
      <diagonal/>
    </border>
    <border>
      <left style="thin">
        <color indexed="8"/>
      </left>
      <right style="thin">
        <color indexed="8"/>
      </right>
      <top/>
      <bottom style="medium">
        <color indexed="64"/>
      </bottom>
      <diagonal/>
    </border>
    <border>
      <left style="thin">
        <color indexed="8"/>
      </left>
      <right style="thin">
        <color indexed="8"/>
      </right>
      <top style="medium">
        <color indexed="64"/>
      </top>
      <bottom style="medium">
        <color indexed="64"/>
      </bottom>
      <diagonal/>
    </border>
    <border>
      <left/>
      <right/>
      <top style="thin">
        <color indexed="8"/>
      </top>
      <bottom/>
      <diagonal/>
    </border>
    <border>
      <left style="medium">
        <color indexed="64"/>
      </left>
      <right style="thin">
        <color indexed="8"/>
      </right>
      <top style="thin">
        <color indexed="8"/>
      </top>
      <bottom style="medium">
        <color indexed="64"/>
      </bottom>
      <diagonal/>
    </border>
    <border>
      <left style="thin">
        <color indexed="64"/>
      </left>
      <right/>
      <top style="thin">
        <color indexed="8"/>
      </top>
      <bottom style="thin">
        <color indexed="8"/>
      </bottom>
      <diagonal/>
    </border>
    <border>
      <left style="medium">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8"/>
      </right>
      <top/>
      <bottom style="medium">
        <color indexed="64"/>
      </bottom>
      <diagonal/>
    </border>
    <border>
      <left style="thin">
        <color indexed="8"/>
      </left>
      <right style="medium">
        <color indexed="64"/>
      </right>
      <top/>
      <bottom/>
      <diagonal/>
    </border>
    <border>
      <left style="thin">
        <color indexed="8"/>
      </left>
      <right/>
      <top/>
      <bottom style="medium">
        <color indexed="64"/>
      </bottom>
      <diagonal/>
    </border>
    <border>
      <left style="thin">
        <color indexed="8"/>
      </left>
      <right style="medium">
        <color indexed="64"/>
      </right>
      <top/>
      <bottom style="medium">
        <color indexed="64"/>
      </bottom>
      <diagonal/>
    </border>
    <border>
      <left style="medium">
        <color indexed="64"/>
      </left>
      <right style="thin">
        <color indexed="8"/>
      </right>
      <top style="medium">
        <color indexed="64"/>
      </top>
      <bottom/>
      <diagonal/>
    </border>
    <border>
      <left/>
      <right style="thin">
        <color indexed="8"/>
      </right>
      <top style="medium">
        <color indexed="64"/>
      </top>
      <bottom/>
      <diagonal/>
    </border>
  </borders>
  <cellStyleXfs count="29">
    <xf numFmtId="0" fontId="0" fillId="0" borderId="0"/>
    <xf numFmtId="165" fontId="16" fillId="0" borderId="0" applyFill="0" applyBorder="0" applyAlignment="0" applyProtection="0"/>
    <xf numFmtId="166" fontId="16" fillId="0" borderId="0" applyFill="0" applyBorder="0" applyAlignment="0" applyProtection="0"/>
    <xf numFmtId="0" fontId="2" fillId="0" borderId="0"/>
    <xf numFmtId="0" fontId="1" fillId="0" borderId="0"/>
    <xf numFmtId="171" fontId="16" fillId="0" borderId="0" applyFill="0" applyBorder="0" applyAlignment="0" applyProtection="0"/>
    <xf numFmtId="0" fontId="16" fillId="0" borderId="0"/>
    <xf numFmtId="0" fontId="16" fillId="0" borderId="0"/>
    <xf numFmtId="0" fontId="16" fillId="0" borderId="0"/>
    <xf numFmtId="0" fontId="2" fillId="0" borderId="0"/>
    <xf numFmtId="0" fontId="2" fillId="0" borderId="0"/>
    <xf numFmtId="0" fontId="2" fillId="0" borderId="0"/>
    <xf numFmtId="0" fontId="16" fillId="0" borderId="0"/>
    <xf numFmtId="0" fontId="2" fillId="0" borderId="0"/>
    <xf numFmtId="0" fontId="16" fillId="0" borderId="0"/>
    <xf numFmtId="3" fontId="16" fillId="0" borderId="0"/>
    <xf numFmtId="9" fontId="16" fillId="0" borderId="0" applyFill="0" applyBorder="0" applyAlignment="0" applyProtection="0"/>
    <xf numFmtId="9" fontId="16" fillId="0" borderId="0" applyFill="0" applyBorder="0" applyAlignment="0" applyProtection="0"/>
    <xf numFmtId="169" fontId="16" fillId="0" borderId="0" applyFill="0" applyBorder="0" applyAlignment="0" applyProtection="0"/>
    <xf numFmtId="169" fontId="16" fillId="0" borderId="0" applyFill="0" applyBorder="0" applyAlignment="0" applyProtection="0"/>
    <xf numFmtId="167" fontId="16" fillId="0" borderId="0" applyFill="0" applyBorder="0" applyAlignment="0" applyProtection="0"/>
    <xf numFmtId="167" fontId="16" fillId="0" borderId="0" applyFill="0" applyBorder="0" applyAlignment="0" applyProtection="0"/>
    <xf numFmtId="167" fontId="16" fillId="0" borderId="0" applyFill="0" applyBorder="0" applyAlignment="0" applyProtection="0"/>
    <xf numFmtId="167" fontId="16" fillId="0" borderId="0" applyFill="0" applyBorder="0" applyAlignment="0" applyProtection="0"/>
    <xf numFmtId="167" fontId="16" fillId="0" borderId="0" applyFill="0" applyBorder="0" applyAlignment="0" applyProtection="0"/>
    <xf numFmtId="167" fontId="16" fillId="0" borderId="0" applyFill="0" applyBorder="0" applyAlignment="0" applyProtection="0"/>
    <xf numFmtId="168" fontId="16" fillId="0" borderId="0" applyFill="0" applyBorder="0" applyAlignment="0" applyProtection="0"/>
    <xf numFmtId="3" fontId="3" fillId="0" borderId="1" applyFill="0" applyAlignment="0" applyProtection="0"/>
    <xf numFmtId="173" fontId="16" fillId="0" borderId="0" applyFill="0" applyBorder="0" applyAlignment="0" applyProtection="0"/>
  </cellStyleXfs>
  <cellXfs count="968">
    <xf numFmtId="0" fontId="0" fillId="0" borderId="0" xfId="0"/>
    <xf numFmtId="0" fontId="16" fillId="0" borderId="0" xfId="6" applyBorder="1" applyAlignment="1"/>
    <xf numFmtId="0" fontId="16" fillId="0" borderId="0" xfId="6"/>
    <xf numFmtId="0" fontId="6" fillId="0" borderId="0" xfId="6" applyFont="1" applyBorder="1" applyAlignment="1">
      <alignment horizontal="center"/>
    </xf>
    <xf numFmtId="0" fontId="6" fillId="0" borderId="0" xfId="6" applyFont="1" applyAlignment="1">
      <alignment horizontal="left"/>
    </xf>
    <xf numFmtId="170" fontId="6" fillId="0" borderId="0" xfId="6" applyNumberFormat="1" applyFont="1" applyAlignment="1">
      <alignment horizontal="left"/>
    </xf>
    <xf numFmtId="0" fontId="0" fillId="0" borderId="0" xfId="6" applyFont="1" applyBorder="1"/>
    <xf numFmtId="0" fontId="0" fillId="2" borderId="2" xfId="6" applyFont="1" applyFill="1" applyBorder="1" applyAlignment="1">
      <alignment horizontal="center"/>
    </xf>
    <xf numFmtId="0" fontId="6" fillId="2" borderId="2" xfId="6" applyFont="1" applyFill="1" applyBorder="1" applyAlignment="1">
      <alignment horizontal="center"/>
    </xf>
    <xf numFmtId="0" fontId="6" fillId="2" borderId="3" xfId="6" applyFont="1" applyFill="1" applyBorder="1" applyAlignment="1">
      <alignment horizontal="center"/>
    </xf>
    <xf numFmtId="0" fontId="6" fillId="2" borderId="4" xfId="6" applyFont="1" applyFill="1" applyBorder="1" applyAlignment="1">
      <alignment horizontal="center"/>
    </xf>
    <xf numFmtId="0" fontId="6" fillId="2" borderId="5" xfId="6" applyFont="1" applyFill="1" applyBorder="1" applyAlignment="1">
      <alignment horizontal="center"/>
    </xf>
    <xf numFmtId="0" fontId="6" fillId="0" borderId="6" xfId="6" applyFont="1" applyBorder="1" applyAlignment="1">
      <alignment horizontal="center" vertical="center"/>
    </xf>
    <xf numFmtId="0" fontId="16" fillId="0" borderId="7" xfId="6" applyBorder="1" applyAlignment="1">
      <alignment horizontal="center" vertical="center"/>
    </xf>
    <xf numFmtId="0" fontId="6" fillId="0" borderId="7" xfId="6" applyFont="1" applyFill="1" applyBorder="1" applyAlignment="1">
      <alignment horizontal="center"/>
    </xf>
    <xf numFmtId="0" fontId="6" fillId="0" borderId="8" xfId="6" applyFont="1" applyFill="1" applyBorder="1" applyAlignment="1">
      <alignment horizontal="center"/>
    </xf>
    <xf numFmtId="0" fontId="6" fillId="0" borderId="6" xfId="6" applyFont="1" applyBorder="1" applyAlignment="1">
      <alignment horizontal="center"/>
    </xf>
    <xf numFmtId="0" fontId="6" fillId="0" borderId="7" xfId="6" applyFont="1" applyBorder="1"/>
    <xf numFmtId="2" fontId="6" fillId="0" borderId="7" xfId="6" applyNumberFormat="1" applyFont="1" applyBorder="1" applyAlignment="1">
      <alignment horizontal="right"/>
    </xf>
    <xf numFmtId="0" fontId="0" fillId="0" borderId="7" xfId="6" applyFont="1" applyBorder="1"/>
    <xf numFmtId="4" fontId="6" fillId="0" borderId="9" xfId="6" applyNumberFormat="1" applyFont="1" applyBorder="1"/>
    <xf numFmtId="0" fontId="7" fillId="0" borderId="0" xfId="6" applyFont="1" applyAlignment="1"/>
    <xf numFmtId="0" fontId="0" fillId="0" borderId="6" xfId="6" applyFont="1" applyBorder="1" applyAlignment="1">
      <alignment horizontal="right"/>
    </xf>
    <xf numFmtId="2" fontId="0" fillId="0" borderId="7" xfId="6" applyNumberFormat="1" applyFont="1" applyBorder="1"/>
    <xf numFmtId="4" fontId="0" fillId="0" borderId="7" xfId="6" applyNumberFormat="1" applyFont="1" applyBorder="1"/>
    <xf numFmtId="0" fontId="16" fillId="0" borderId="8" xfId="6" applyBorder="1"/>
    <xf numFmtId="2" fontId="6" fillId="0" borderId="7" xfId="6" applyNumberFormat="1" applyFont="1" applyBorder="1"/>
    <xf numFmtId="4" fontId="6" fillId="0" borderId="8" xfId="6" applyNumberFormat="1" applyFont="1" applyBorder="1"/>
    <xf numFmtId="0" fontId="0" fillId="0" borderId="7" xfId="6" applyFont="1" applyBorder="1" applyAlignment="1">
      <alignment horizontal="left"/>
    </xf>
    <xf numFmtId="0" fontId="7" fillId="0" borderId="0" xfId="6" applyFont="1"/>
    <xf numFmtId="2" fontId="16" fillId="0" borderId="7" xfId="6" applyNumberFormat="1" applyBorder="1" applyAlignment="1">
      <alignment horizontal="right"/>
    </xf>
    <xf numFmtId="4" fontId="0" fillId="0" borderId="8" xfId="6" applyNumberFormat="1" applyFont="1" applyBorder="1"/>
    <xf numFmtId="0" fontId="4" fillId="0" borderId="0" xfId="6" applyFont="1" applyAlignment="1"/>
    <xf numFmtId="2" fontId="6" fillId="0" borderId="0" xfId="6" applyNumberFormat="1" applyFont="1" applyBorder="1"/>
    <xf numFmtId="0" fontId="0" fillId="0" borderId="10" xfId="6" applyFont="1" applyBorder="1" applyAlignment="1">
      <alignment horizontal="right"/>
    </xf>
    <xf numFmtId="0" fontId="6" fillId="0" borderId="11" xfId="6" applyFont="1" applyBorder="1"/>
    <xf numFmtId="2" fontId="6" fillId="0" borderId="11" xfId="6" applyNumberFormat="1" applyFont="1" applyBorder="1"/>
    <xf numFmtId="4" fontId="16" fillId="0" borderId="11" xfId="6" applyNumberFormat="1" applyBorder="1"/>
    <xf numFmtId="4" fontId="6" fillId="0" borderId="12" xfId="6" applyNumberFormat="1" applyFont="1" applyBorder="1"/>
    <xf numFmtId="171" fontId="6" fillId="0" borderId="0" xfId="6" applyNumberFormat="1" applyFont="1"/>
    <xf numFmtId="0" fontId="6" fillId="0" borderId="0" xfId="6" applyFont="1" applyAlignment="1">
      <alignment horizontal="right"/>
    </xf>
    <xf numFmtId="172" fontId="7" fillId="0" borderId="0" xfId="6" applyNumberFormat="1" applyFont="1"/>
    <xf numFmtId="0" fontId="0" fillId="0" borderId="0" xfId="6" applyFont="1" applyAlignment="1">
      <alignment horizontal="center"/>
    </xf>
    <xf numFmtId="2" fontId="4" fillId="0" borderId="0" xfId="6" applyNumberFormat="1" applyFont="1"/>
    <xf numFmtId="0" fontId="6" fillId="0" borderId="0" xfId="6" applyFont="1" applyAlignment="1"/>
    <xf numFmtId="0" fontId="4" fillId="0" borderId="0" xfId="6" applyFont="1" applyAlignment="1">
      <alignment horizontal="center"/>
    </xf>
    <xf numFmtId="10" fontId="4" fillId="0" borderId="0" xfId="6" applyNumberFormat="1" applyFont="1" applyAlignment="1"/>
    <xf numFmtId="0" fontId="8" fillId="0" borderId="0" xfId="6" applyFont="1" applyAlignment="1"/>
    <xf numFmtId="2" fontId="9" fillId="0" borderId="0" xfId="15" applyNumberFormat="1" applyFont="1" applyFill="1" applyBorder="1" applyAlignment="1">
      <alignment horizontal="left" vertical="center"/>
    </xf>
    <xf numFmtId="4" fontId="10" fillId="0" borderId="0" xfId="15" applyNumberFormat="1" applyFont="1" applyFill="1" applyBorder="1" applyAlignment="1">
      <alignment horizontal="right" vertical="center"/>
    </xf>
    <xf numFmtId="4" fontId="10" fillId="0" borderId="13" xfId="15" applyNumberFormat="1" applyFont="1" applyFill="1" applyBorder="1" applyAlignment="1">
      <alignment horizontal="center"/>
    </xf>
    <xf numFmtId="172" fontId="10" fillId="0" borderId="13" xfId="15" applyNumberFormat="1" applyFont="1" applyFill="1" applyBorder="1" applyAlignment="1">
      <alignment horizontal="center"/>
    </xf>
    <xf numFmtId="0" fontId="10" fillId="0" borderId="14" xfId="0" applyFont="1" applyFill="1" applyBorder="1" applyAlignment="1">
      <alignment horizontal="right" vertical="center"/>
    </xf>
    <xf numFmtId="4" fontId="10" fillId="0" borderId="14" xfId="0" applyNumberFormat="1" applyFont="1" applyFill="1" applyBorder="1" applyAlignment="1">
      <alignment horizontal="center" vertical="center"/>
    </xf>
    <xf numFmtId="4" fontId="10" fillId="0" borderId="14" xfId="0" applyNumberFormat="1" applyFont="1" applyFill="1" applyBorder="1" applyAlignment="1">
      <alignment horizontal="right" vertical="center"/>
    </xf>
    <xf numFmtId="2" fontId="10" fillId="0" borderId="14" xfId="0" applyNumberFormat="1" applyFont="1" applyFill="1" applyBorder="1" applyAlignment="1">
      <alignment horizontal="center" vertical="center"/>
    </xf>
    <xf numFmtId="4" fontId="10" fillId="0" borderId="14" xfId="15" applyNumberFormat="1" applyFont="1" applyFill="1" applyBorder="1" applyAlignment="1">
      <alignment horizontal="right" vertical="center"/>
    </xf>
    <xf numFmtId="0" fontId="10" fillId="0" borderId="15" xfId="0" applyFont="1" applyFill="1" applyBorder="1" applyAlignment="1">
      <alignment horizontal="left" vertical="center"/>
    </xf>
    <xf numFmtId="0" fontId="10" fillId="0" borderId="14" xfId="0" applyFont="1" applyFill="1" applyBorder="1" applyAlignment="1">
      <alignment horizontal="center" vertical="center"/>
    </xf>
    <xf numFmtId="2" fontId="10" fillId="0" borderId="14" xfId="0" applyNumberFormat="1" applyFont="1" applyFill="1" applyBorder="1" applyAlignment="1">
      <alignment horizontal="right" vertical="center"/>
    </xf>
    <xf numFmtId="4" fontId="10" fillId="0" borderId="0" xfId="0" applyNumberFormat="1" applyFont="1" applyFill="1" applyBorder="1" applyAlignment="1">
      <alignment horizontal="right" vertical="center"/>
    </xf>
    <xf numFmtId="4" fontId="13" fillId="0" borderId="0" xfId="0" applyNumberFormat="1" applyFont="1" applyAlignment="1">
      <alignment wrapText="1"/>
    </xf>
    <xf numFmtId="4" fontId="13" fillId="0" borderId="0" xfId="0" applyNumberFormat="1" applyFont="1" applyBorder="1" applyAlignment="1">
      <alignment wrapText="1"/>
    </xf>
    <xf numFmtId="4" fontId="14" fillId="0" borderId="0" xfId="0" applyNumberFormat="1" applyFont="1" applyFill="1" applyBorder="1" applyAlignment="1">
      <alignment vertical="center" wrapText="1"/>
    </xf>
    <xf numFmtId="4" fontId="13" fillId="0" borderId="0" xfId="0" applyNumberFormat="1" applyFont="1" applyFill="1" applyBorder="1" applyAlignment="1">
      <alignment wrapText="1"/>
    </xf>
    <xf numFmtId="4" fontId="13" fillId="0" borderId="0" xfId="0" applyNumberFormat="1" applyFont="1" applyBorder="1" applyAlignment="1">
      <alignment horizontal="left" vertical="center" wrapText="1"/>
    </xf>
    <xf numFmtId="4" fontId="14" fillId="0" borderId="0" xfId="0" applyNumberFormat="1" applyFont="1" applyBorder="1" applyAlignment="1">
      <alignment wrapText="1"/>
    </xf>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2" fontId="0" fillId="0" borderId="0" xfId="0" applyNumberFormat="1"/>
    <xf numFmtId="0" fontId="6" fillId="0" borderId="20" xfId="0" applyFont="1" applyBorder="1"/>
    <xf numFmtId="0" fontId="0" fillId="0" borderId="21" xfId="0" applyBorder="1"/>
    <xf numFmtId="0" fontId="6" fillId="0" borderId="22" xfId="0" applyFont="1" applyBorder="1"/>
    <xf numFmtId="0" fontId="6" fillId="0" borderId="19" xfId="0" applyFont="1" applyBorder="1"/>
    <xf numFmtId="0" fontId="6" fillId="0" borderId="0" xfId="0" applyFont="1" applyBorder="1"/>
    <xf numFmtId="10" fontId="0" fillId="0" borderId="0" xfId="0" applyNumberFormat="1" applyBorder="1"/>
    <xf numFmtId="10" fontId="6" fillId="0" borderId="0" xfId="0" applyNumberFormat="1" applyFont="1" applyBorder="1"/>
    <xf numFmtId="0" fontId="6" fillId="0" borderId="20" xfId="0" applyFont="1" applyBorder="1" applyAlignment="1">
      <alignment horizontal="center"/>
    </xf>
    <xf numFmtId="0" fontId="11" fillId="0" borderId="0" xfId="0" applyFont="1" applyBorder="1"/>
    <xf numFmtId="10" fontId="16" fillId="0" borderId="0" xfId="0" applyNumberFormat="1" applyFont="1" applyBorder="1"/>
    <xf numFmtId="0" fontId="6" fillId="0" borderId="24" xfId="0" applyFont="1" applyBorder="1"/>
    <xf numFmtId="0" fontId="0" fillId="0" borderId="24" xfId="0" applyBorder="1"/>
    <xf numFmtId="10" fontId="6" fillId="0" borderId="24" xfId="28" applyNumberFormat="1" applyFont="1" applyBorder="1"/>
    <xf numFmtId="0" fontId="0" fillId="0" borderId="22" xfId="0" applyBorder="1"/>
    <xf numFmtId="172" fontId="0" fillId="0" borderId="0" xfId="0" applyNumberFormat="1" applyBorder="1"/>
    <xf numFmtId="0" fontId="15" fillId="0" borderId="0" xfId="0" applyFont="1"/>
    <xf numFmtId="172" fontId="0" fillId="0" borderId="0" xfId="0" applyNumberFormat="1"/>
    <xf numFmtId="2" fontId="6" fillId="0" borderId="0" xfId="0" applyNumberFormat="1" applyFont="1" applyBorder="1"/>
    <xf numFmtId="0" fontId="10" fillId="0" borderId="0" xfId="0" applyFont="1"/>
    <xf numFmtId="0" fontId="10" fillId="0" borderId="0" xfId="0" applyFont="1" applyAlignment="1">
      <alignment wrapText="1"/>
    </xf>
    <xf numFmtId="0" fontId="10" fillId="0" borderId="0" xfId="0" applyFont="1" applyFill="1"/>
    <xf numFmtId="4" fontId="10" fillId="0" borderId="0" xfId="0" applyNumberFormat="1" applyFont="1"/>
    <xf numFmtId="4" fontId="10" fillId="0" borderId="0" xfId="0" applyNumberFormat="1" applyFont="1" applyAlignment="1">
      <alignment horizontal="right"/>
    </xf>
    <xf numFmtId="4" fontId="10" fillId="0" borderId="0" xfId="0" applyNumberFormat="1" applyFont="1" applyFill="1" applyBorder="1" applyAlignment="1">
      <alignment horizontal="right"/>
    </xf>
    <xf numFmtId="2" fontId="10" fillId="0" borderId="14" xfId="15" applyNumberFormat="1" applyFont="1" applyFill="1" applyBorder="1" applyAlignment="1">
      <alignment horizontal="center" vertical="center"/>
    </xf>
    <xf numFmtId="4" fontId="10" fillId="0" borderId="25" xfId="0" applyNumberFormat="1" applyFont="1" applyFill="1" applyBorder="1" applyAlignment="1">
      <alignment horizontal="right"/>
    </xf>
    <xf numFmtId="0" fontId="10" fillId="0" borderId="19" xfId="0" applyFont="1" applyFill="1" applyBorder="1" applyAlignment="1">
      <alignment horizontal="right" vertical="center"/>
    </xf>
    <xf numFmtId="4" fontId="10" fillId="0" borderId="26" xfId="0" applyNumberFormat="1" applyFont="1" applyFill="1" applyBorder="1" applyAlignment="1">
      <alignment horizontal="right" vertical="center"/>
    </xf>
    <xf numFmtId="2" fontId="10" fillId="0" borderId="27" xfId="0" applyNumberFormat="1" applyFont="1" applyFill="1" applyBorder="1" applyAlignment="1">
      <alignment horizontal="right" vertical="center"/>
    </xf>
    <xf numFmtId="4" fontId="10" fillId="0" borderId="28" xfId="0" applyNumberFormat="1" applyFont="1" applyFill="1" applyBorder="1" applyAlignment="1">
      <alignment horizontal="right" vertical="center"/>
    </xf>
    <xf numFmtId="0" fontId="10" fillId="0" borderId="0" xfId="0" applyFont="1" applyFill="1" applyAlignment="1">
      <alignment vertical="center" wrapText="1"/>
    </xf>
    <xf numFmtId="3" fontId="10" fillId="0" borderId="29" xfId="15" applyFont="1" applyFill="1" applyBorder="1" applyAlignment="1">
      <alignment horizontal="left" wrapText="1"/>
    </xf>
    <xf numFmtId="4" fontId="10" fillId="0" borderId="26" xfId="15" applyNumberFormat="1" applyFont="1" applyFill="1" applyBorder="1" applyAlignment="1">
      <alignment horizontal="right"/>
    </xf>
    <xf numFmtId="3" fontId="10" fillId="0" borderId="27" xfId="15" applyFont="1" applyFill="1" applyBorder="1" applyAlignment="1">
      <alignment wrapText="1"/>
    </xf>
    <xf numFmtId="0" fontId="10" fillId="0" borderId="0" xfId="0" applyFont="1" applyFill="1" applyAlignment="1">
      <alignment vertical="center"/>
    </xf>
    <xf numFmtId="0" fontId="9" fillId="0" borderId="30" xfId="3" applyFont="1" applyBorder="1"/>
    <xf numFmtId="0" fontId="21" fillId="0" borderId="30" xfId="3" applyFont="1" applyBorder="1"/>
    <xf numFmtId="0" fontId="10" fillId="0" borderId="30" xfId="3" applyFont="1" applyBorder="1"/>
    <xf numFmtId="0" fontId="9" fillId="0" borderId="0" xfId="3" applyFont="1" applyBorder="1"/>
    <xf numFmtId="0" fontId="21" fillId="0" borderId="0" xfId="3" applyFont="1" applyBorder="1"/>
    <xf numFmtId="0" fontId="22" fillId="0" borderId="30" xfId="3" applyFont="1" applyBorder="1"/>
    <xf numFmtId="172" fontId="10" fillId="0" borderId="14" xfId="0" applyNumberFormat="1" applyFont="1" applyFill="1" applyBorder="1" applyAlignment="1">
      <alignment horizontal="center" vertical="center"/>
    </xf>
    <xf numFmtId="4" fontId="10" fillId="0" borderId="14" xfId="0" applyNumberFormat="1" applyFont="1" applyFill="1" applyBorder="1" applyAlignment="1">
      <alignment horizontal="center" vertical="center" wrapText="1"/>
    </xf>
    <xf numFmtId="174" fontId="10" fillId="0" borderId="14" xfId="0" applyNumberFormat="1" applyFont="1" applyFill="1" applyBorder="1" applyAlignment="1">
      <alignment horizontal="center" vertical="center" wrapText="1"/>
    </xf>
    <xf numFmtId="2" fontId="10" fillId="0" borderId="14" xfId="0" applyNumberFormat="1" applyFont="1" applyFill="1" applyBorder="1" applyAlignment="1">
      <alignment horizontal="center" vertical="center" wrapText="1"/>
    </xf>
    <xf numFmtId="174" fontId="10" fillId="0" borderId="14" xfId="0" applyNumberFormat="1" applyFont="1" applyFill="1" applyBorder="1" applyAlignment="1">
      <alignment horizontal="right" vertical="center"/>
    </xf>
    <xf numFmtId="0" fontId="10" fillId="0" borderId="27" xfId="0" applyFont="1" applyFill="1" applyBorder="1" applyAlignment="1">
      <alignment horizontal="left" vertical="center" wrapText="1"/>
    </xf>
    <xf numFmtId="0" fontId="10" fillId="0" borderId="14" xfId="0" applyFont="1" applyFill="1" applyBorder="1" applyAlignment="1">
      <alignment horizontal="center" vertical="center" wrapText="1"/>
    </xf>
    <xf numFmtId="4" fontId="19" fillId="0" borderId="27" xfId="13" applyNumberFormat="1" applyFont="1" applyFill="1" applyBorder="1" applyAlignment="1">
      <alignment horizontal="left" vertical="center" wrapText="1"/>
    </xf>
    <xf numFmtId="4" fontId="10" fillId="0" borderId="26" xfId="0" applyNumberFormat="1" applyFont="1" applyFill="1" applyBorder="1" applyAlignment="1"/>
    <xf numFmtId="1"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10" fillId="0" borderId="0" xfId="28" applyNumberFormat="1" applyFont="1" applyFill="1" applyBorder="1" applyAlignment="1" applyProtection="1">
      <alignment horizontal="center" vertical="center"/>
    </xf>
    <xf numFmtId="4" fontId="10" fillId="0" borderId="0" xfId="0" applyNumberFormat="1" applyFont="1" applyAlignment="1">
      <alignment wrapText="1"/>
    </xf>
    <xf numFmtId="4" fontId="9" fillId="0" borderId="0" xfId="0" applyNumberFormat="1" applyFont="1" applyBorder="1" applyAlignment="1">
      <alignment vertical="center" wrapText="1"/>
    </xf>
    <xf numFmtId="4" fontId="10" fillId="0" borderId="0" xfId="0" applyNumberFormat="1" applyFont="1" applyBorder="1" applyAlignment="1">
      <alignment horizontal="center" vertical="center"/>
    </xf>
    <xf numFmtId="4" fontId="10" fillId="0" borderId="14" xfId="0" applyNumberFormat="1" applyFont="1" applyFill="1" applyBorder="1" applyAlignment="1">
      <alignment vertical="center"/>
    </xf>
    <xf numFmtId="1" fontId="10" fillId="0" borderId="0" xfId="28" applyNumberFormat="1" applyFont="1" applyFill="1" applyBorder="1" applyAlignment="1" applyProtection="1">
      <alignment horizontal="center" vertical="center"/>
    </xf>
    <xf numFmtId="1" fontId="10" fillId="0" borderId="0" xfId="0" applyNumberFormat="1" applyFont="1" applyBorder="1" applyAlignment="1">
      <alignment horizontal="center" vertical="center"/>
    </xf>
    <xf numFmtId="3" fontId="9" fillId="0" borderId="0" xfId="15" applyFont="1" applyFill="1" applyBorder="1" applyAlignment="1">
      <alignment horizontal="center" vertical="center"/>
    </xf>
    <xf numFmtId="4" fontId="10" fillId="0" borderId="0" xfId="15" applyNumberFormat="1" applyFont="1" applyFill="1" applyBorder="1" applyAlignment="1">
      <alignment horizontal="right"/>
    </xf>
    <xf numFmtId="4" fontId="10" fillId="0"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172" fontId="10" fillId="0" borderId="0" xfId="0" applyNumberFormat="1" applyFont="1" applyFill="1" applyBorder="1" applyAlignment="1">
      <alignment horizontal="center" vertical="center"/>
    </xf>
    <xf numFmtId="172" fontId="10" fillId="0" borderId="0" xfId="0" applyNumberFormat="1" applyFont="1" applyFill="1" applyBorder="1" applyAlignment="1">
      <alignment horizontal="center" vertical="center" wrapText="1"/>
    </xf>
    <xf numFmtId="172" fontId="10" fillId="0" borderId="0" xfId="0" applyNumberFormat="1" applyFont="1" applyFill="1" applyBorder="1" applyAlignment="1">
      <alignment vertical="center"/>
    </xf>
    <xf numFmtId="4" fontId="10" fillId="0" borderId="0" xfId="0" applyNumberFormat="1" applyFont="1" applyFill="1" applyBorder="1" applyAlignment="1"/>
    <xf numFmtId="2" fontId="10" fillId="0" borderId="0" xfId="0" applyNumberFormat="1" applyFont="1" applyFill="1" applyBorder="1" applyAlignment="1">
      <alignment vertical="center"/>
    </xf>
    <xf numFmtId="0" fontId="10" fillId="0" borderId="0" xfId="7" applyFont="1" applyFill="1" applyBorder="1" applyAlignment="1">
      <alignment vertical="center"/>
    </xf>
    <xf numFmtId="4" fontId="9" fillId="0" borderId="0" xfId="7" applyNumberFormat="1" applyFont="1" applyFill="1" applyBorder="1" applyAlignment="1">
      <alignment horizontal="center" vertical="center"/>
    </xf>
    <xf numFmtId="10" fontId="10" fillId="0" borderId="0" xfId="16" applyNumberFormat="1" applyFont="1" applyFill="1" applyBorder="1" applyAlignment="1">
      <alignment vertical="center"/>
    </xf>
    <xf numFmtId="49" fontId="22" fillId="3" borderId="27" xfId="7" applyNumberFormat="1" applyFont="1" applyFill="1" applyBorder="1" applyAlignment="1">
      <alignment horizontal="center" vertical="center"/>
    </xf>
    <xf numFmtId="49" fontId="22" fillId="0" borderId="14" xfId="7" applyNumberFormat="1" applyFont="1" applyFill="1" applyBorder="1" applyAlignment="1">
      <alignment horizontal="center" vertical="center"/>
    </xf>
    <xf numFmtId="0" fontId="22" fillId="3" borderId="14" xfId="7" applyFont="1" applyFill="1" applyBorder="1" applyAlignment="1">
      <alignment horizontal="justify" vertical="center" wrapText="1"/>
    </xf>
    <xf numFmtId="4" fontId="22" fillId="0" borderId="14" xfId="7" applyNumberFormat="1" applyFont="1" applyFill="1" applyBorder="1" applyAlignment="1">
      <alignment horizontal="center" vertical="center"/>
    </xf>
    <xf numFmtId="4" fontId="22" fillId="3" borderId="26" xfId="7" applyNumberFormat="1" applyFont="1" applyFill="1" applyBorder="1" applyAlignment="1">
      <alignment horizontal="center" vertical="center"/>
    </xf>
    <xf numFmtId="0" fontId="22" fillId="0" borderId="14" xfId="7" applyFont="1" applyFill="1" applyBorder="1" applyAlignment="1">
      <alignment horizontal="justify" vertical="center" wrapText="1"/>
    </xf>
    <xf numFmtId="0" fontId="22" fillId="0" borderId="14" xfId="7" applyFont="1" applyFill="1" applyBorder="1" applyAlignment="1">
      <alignment horizontal="center" vertical="center"/>
    </xf>
    <xf numFmtId="0" fontId="22" fillId="0" borderId="14" xfId="0" applyFont="1" applyFill="1" applyBorder="1" applyAlignment="1">
      <alignment horizontal="center" vertical="center"/>
    </xf>
    <xf numFmtId="0" fontId="21" fillId="0" borderId="14" xfId="0" applyFont="1" applyBorder="1" applyAlignment="1">
      <alignment horizontal="justify" vertical="center" wrapText="1"/>
    </xf>
    <xf numFmtId="2" fontId="10" fillId="0" borderId="0" xfId="7" applyNumberFormat="1" applyFont="1" applyFill="1" applyBorder="1" applyAlignment="1">
      <alignment vertical="center"/>
    </xf>
    <xf numFmtId="0" fontId="24" fillId="3" borderId="0" xfId="7" applyFont="1" applyFill="1" applyBorder="1" applyAlignment="1">
      <alignment vertical="center" wrapText="1"/>
    </xf>
    <xf numFmtId="0" fontId="27" fillId="3" borderId="0" xfId="7" applyFont="1" applyFill="1" applyBorder="1" applyAlignment="1">
      <alignment vertical="center" wrapText="1"/>
    </xf>
    <xf numFmtId="49" fontId="22" fillId="3" borderId="14" xfId="7" applyNumberFormat="1" applyFont="1" applyFill="1" applyBorder="1" applyAlignment="1">
      <alignment horizontal="center" vertical="center"/>
    </xf>
    <xf numFmtId="4" fontId="22" fillId="3" borderId="14" xfId="7" applyNumberFormat="1" applyFont="1" applyFill="1" applyBorder="1" applyAlignment="1">
      <alignment horizontal="center" vertical="center"/>
    </xf>
    <xf numFmtId="0" fontId="10" fillId="0" borderId="0" xfId="7" applyFont="1" applyFill="1" applyAlignment="1">
      <alignment horizontal="center" vertical="center"/>
    </xf>
    <xf numFmtId="0" fontId="9" fillId="0" borderId="0" xfId="7" applyFont="1" applyFill="1" applyBorder="1" applyAlignment="1">
      <alignment horizontal="center" vertical="center"/>
    </xf>
    <xf numFmtId="0" fontId="10" fillId="0" borderId="0" xfId="7" applyFont="1" applyFill="1" applyAlignment="1">
      <alignment vertical="center" wrapText="1"/>
    </xf>
    <xf numFmtId="2" fontId="10" fillId="0" borderId="0" xfId="21" applyNumberFormat="1" applyFont="1" applyFill="1" applyBorder="1" applyAlignment="1" applyProtection="1">
      <alignment horizontal="center" vertical="center"/>
    </xf>
    <xf numFmtId="4" fontId="10" fillId="0" borderId="0" xfId="21" applyNumberFormat="1" applyFont="1" applyFill="1" applyBorder="1" applyAlignment="1" applyProtection="1">
      <alignment horizontal="right" vertical="center"/>
    </xf>
    <xf numFmtId="4" fontId="10" fillId="0" borderId="25" xfId="0" applyNumberFormat="1" applyFont="1" applyFill="1" applyBorder="1" applyAlignment="1">
      <alignment horizontal="right" vertical="center"/>
    </xf>
    <xf numFmtId="4" fontId="10" fillId="0" borderId="26" xfId="0" applyNumberFormat="1" applyFont="1" applyFill="1" applyBorder="1" applyAlignment="1">
      <alignment vertical="center"/>
    </xf>
    <xf numFmtId="3" fontId="10" fillId="0" borderId="29" xfId="15" applyFont="1" applyFill="1" applyBorder="1" applyAlignment="1">
      <alignment horizontal="left" vertical="center" wrapText="1"/>
    </xf>
    <xf numFmtId="4" fontId="10" fillId="0" borderId="13" xfId="15" applyNumberFormat="1" applyFont="1" applyFill="1" applyBorder="1" applyAlignment="1">
      <alignment horizontal="center" vertical="center"/>
    </xf>
    <xf numFmtId="172" fontId="10" fillId="0" borderId="13" xfId="15" applyNumberFormat="1" applyFont="1" applyFill="1" applyBorder="1" applyAlignment="1">
      <alignment horizontal="center" vertical="center"/>
    </xf>
    <xf numFmtId="4" fontId="10" fillId="0" borderId="26" xfId="15" applyNumberFormat="1" applyFont="1" applyFill="1" applyBorder="1" applyAlignment="1">
      <alignment horizontal="right" vertical="center"/>
    </xf>
    <xf numFmtId="3" fontId="9" fillId="0" borderId="0" xfId="0" applyNumberFormat="1" applyFont="1" applyFill="1" applyBorder="1" applyAlignment="1">
      <alignment horizontal="center" vertical="center" wrapText="1"/>
    </xf>
    <xf numFmtId="4" fontId="10" fillId="0" borderId="0" xfId="15" applyNumberFormat="1" applyFont="1" applyFill="1" applyBorder="1" applyAlignment="1">
      <alignment horizontal="right" vertical="center" wrapText="1"/>
    </xf>
    <xf numFmtId="0" fontId="10" fillId="0" borderId="0" xfId="0" applyFont="1" applyFill="1" applyBorder="1" applyAlignment="1">
      <alignment horizontal="center" vertical="center"/>
    </xf>
    <xf numFmtId="4" fontId="9" fillId="0" borderId="0" xfId="0" applyNumberFormat="1" applyFont="1" applyFill="1" applyBorder="1" applyAlignment="1">
      <alignment horizontal="center" vertical="center"/>
    </xf>
    <xf numFmtId="2" fontId="10" fillId="0" borderId="0" xfId="0" applyNumberFormat="1" applyFont="1" applyFill="1" applyBorder="1" applyAlignment="1">
      <alignment horizontal="right" vertical="center"/>
    </xf>
    <xf numFmtId="4" fontId="10" fillId="0" borderId="0" xfId="15" applyNumberFormat="1" applyFont="1" applyFill="1" applyBorder="1" applyAlignment="1">
      <alignment horizontal="center" vertical="center"/>
    </xf>
    <xf numFmtId="4" fontId="10" fillId="0" borderId="0" xfId="0" applyNumberFormat="1" applyFont="1" applyFill="1" applyAlignment="1">
      <alignment horizontal="right"/>
    </xf>
    <xf numFmtId="2" fontId="9" fillId="0" borderId="0" xfId="15" applyNumberFormat="1" applyFont="1" applyFill="1" applyBorder="1" applyAlignment="1">
      <alignment horizontal="center" vertical="center"/>
    </xf>
    <xf numFmtId="174" fontId="10" fillId="0" borderId="14" xfId="0" applyNumberFormat="1" applyFont="1" applyFill="1" applyBorder="1" applyAlignment="1">
      <alignment horizontal="center" vertical="center"/>
    </xf>
    <xf numFmtId="0" fontId="10" fillId="0" borderId="0" xfId="0" applyFont="1" applyAlignment="1">
      <alignment horizontal="center"/>
    </xf>
    <xf numFmtId="4" fontId="10" fillId="0" borderId="31" xfId="0" applyNumberFormat="1" applyFont="1" applyFill="1" applyBorder="1" applyAlignment="1">
      <alignment horizontal="center" vertical="center"/>
    </xf>
    <xf numFmtId="172" fontId="10" fillId="0" borderId="32" xfId="0" applyNumberFormat="1" applyFont="1" applyFill="1" applyBorder="1" applyAlignment="1">
      <alignment horizontal="center" vertical="center"/>
    </xf>
    <xf numFmtId="0" fontId="10" fillId="0" borderId="27" xfId="0" applyFont="1" applyFill="1" applyBorder="1" applyAlignment="1">
      <alignment horizontal="center" vertical="center" wrapText="1"/>
    </xf>
    <xf numFmtId="0" fontId="10" fillId="0" borderId="27" xfId="0" applyFont="1" applyFill="1" applyBorder="1" applyAlignment="1">
      <alignment horizontal="center" vertical="center"/>
    </xf>
    <xf numFmtId="0" fontId="10" fillId="0" borderId="29" xfId="0" applyFont="1" applyFill="1" applyBorder="1" applyAlignment="1">
      <alignment horizontal="left" vertical="center" wrapText="1"/>
    </xf>
    <xf numFmtId="4" fontId="10" fillId="0" borderId="34" xfId="0" applyNumberFormat="1" applyFont="1" applyFill="1" applyBorder="1" applyAlignment="1">
      <alignment horizontal="center" vertical="center"/>
    </xf>
    <xf numFmtId="0" fontId="10" fillId="0" borderId="29" xfId="0" applyFont="1" applyFill="1" applyBorder="1" applyAlignment="1">
      <alignment horizontal="center" vertical="center" wrapText="1"/>
    </xf>
    <xf numFmtId="4" fontId="10" fillId="0" borderId="26" xfId="0" applyNumberFormat="1" applyFont="1" applyFill="1" applyBorder="1" applyAlignment="1">
      <alignment horizontal="center" vertical="center" wrapText="1"/>
    </xf>
    <xf numFmtId="4" fontId="10" fillId="0" borderId="26" xfId="0" applyNumberFormat="1" applyFont="1" applyFill="1" applyBorder="1" applyAlignment="1">
      <alignment horizontal="center" vertical="center"/>
    </xf>
    <xf numFmtId="4" fontId="20" fillId="11" borderId="35" xfId="15" applyNumberFormat="1" applyFont="1" applyFill="1" applyBorder="1" applyAlignment="1">
      <alignment horizontal="right" vertical="center"/>
    </xf>
    <xf numFmtId="0" fontId="10" fillId="0" borderId="27" xfId="0" applyFont="1" applyFill="1" applyBorder="1" applyAlignment="1">
      <alignment vertical="center" wrapText="1"/>
    </xf>
    <xf numFmtId="4" fontId="10" fillId="11" borderId="35" xfId="15" applyNumberFormat="1" applyFont="1" applyFill="1" applyBorder="1" applyAlignment="1">
      <alignment horizontal="right" vertical="center"/>
    </xf>
    <xf numFmtId="4" fontId="10" fillId="0" borderId="14" xfId="15" applyNumberFormat="1" applyFont="1" applyFill="1" applyBorder="1" applyAlignment="1">
      <alignment horizontal="center" vertical="center" wrapText="1"/>
    </xf>
    <xf numFmtId="174" fontId="10" fillId="0" borderId="14" xfId="15" applyNumberFormat="1" applyFont="1" applyFill="1" applyBorder="1" applyAlignment="1">
      <alignment horizontal="center" vertical="center" wrapText="1"/>
    </xf>
    <xf numFmtId="2" fontId="10" fillId="0" borderId="14" xfId="15" applyNumberFormat="1" applyFont="1" applyFill="1" applyBorder="1" applyAlignment="1">
      <alignment horizontal="center" vertical="center" wrapText="1"/>
    </xf>
    <xf numFmtId="2" fontId="10" fillId="0" borderId="13" xfId="15" applyNumberFormat="1" applyFont="1" applyFill="1" applyBorder="1" applyAlignment="1">
      <alignment horizontal="center" vertical="center" wrapText="1"/>
    </xf>
    <xf numFmtId="4" fontId="10" fillId="0" borderId="14" xfId="15" applyNumberFormat="1" applyFont="1" applyFill="1" applyBorder="1" applyAlignment="1">
      <alignment horizontal="center" vertical="center"/>
    </xf>
    <xf numFmtId="172" fontId="10" fillId="0" borderId="14" xfId="15" applyNumberFormat="1" applyFont="1" applyFill="1" applyBorder="1" applyAlignment="1">
      <alignment horizontal="center" vertical="center"/>
    </xf>
    <xf numFmtId="174" fontId="10" fillId="0" borderId="14" xfId="15" applyNumberFormat="1" applyFont="1" applyFill="1" applyBorder="1" applyAlignment="1">
      <alignment horizontal="center" vertical="center"/>
    </xf>
    <xf numFmtId="3" fontId="10" fillId="0" borderId="14" xfId="15" applyFont="1" applyFill="1" applyBorder="1" applyAlignment="1">
      <alignment horizontal="right" vertical="center"/>
    </xf>
    <xf numFmtId="4" fontId="10" fillId="0" borderId="14" xfId="15" applyNumberFormat="1" applyFont="1" applyFill="1" applyBorder="1" applyAlignment="1">
      <alignment horizontal="center"/>
    </xf>
    <xf numFmtId="174" fontId="10" fillId="0" borderId="14" xfId="15" applyNumberFormat="1" applyFont="1" applyFill="1" applyBorder="1" applyAlignment="1">
      <alignment horizontal="right"/>
    </xf>
    <xf numFmtId="2" fontId="10" fillId="0" borderId="14" xfId="15" applyNumberFormat="1" applyFont="1" applyFill="1" applyBorder="1" applyAlignment="1">
      <alignment horizontal="center"/>
    </xf>
    <xf numFmtId="3" fontId="10" fillId="0" borderId="14" xfId="15" applyFont="1" applyFill="1" applyBorder="1" applyAlignment="1">
      <alignment horizontal="center" vertical="center"/>
    </xf>
    <xf numFmtId="175" fontId="10" fillId="0" borderId="14" xfId="15" applyNumberFormat="1" applyFont="1" applyFill="1" applyBorder="1" applyAlignment="1">
      <alignment horizontal="center" vertical="center"/>
    </xf>
    <xf numFmtId="172" fontId="10" fillId="0" borderId="14" xfId="15" applyNumberFormat="1" applyFont="1" applyFill="1" applyBorder="1" applyAlignment="1">
      <alignment horizontal="center"/>
    </xf>
    <xf numFmtId="4" fontId="10" fillId="0" borderId="27" xfId="0" applyNumberFormat="1" applyFont="1" applyFill="1" applyBorder="1" applyAlignment="1">
      <alignment horizontal="center" vertical="center"/>
    </xf>
    <xf numFmtId="4" fontId="10" fillId="0" borderId="34" xfId="15" applyNumberFormat="1" applyFont="1" applyFill="1" applyBorder="1" applyAlignment="1">
      <alignment horizontal="center" vertical="center"/>
    </xf>
    <xf numFmtId="3" fontId="10" fillId="0" borderId="29" xfId="15" applyFont="1" applyFill="1" applyBorder="1" applyAlignment="1">
      <alignment horizontal="center" vertical="center" wrapText="1"/>
    </xf>
    <xf numFmtId="4" fontId="10" fillId="0" borderId="26" xfId="15" applyNumberFormat="1" applyFont="1" applyFill="1" applyBorder="1" applyAlignment="1">
      <alignment horizontal="center" vertical="center" wrapText="1"/>
    </xf>
    <xf numFmtId="4" fontId="10" fillId="0" borderId="25" xfId="15" applyNumberFormat="1" applyFont="1" applyFill="1" applyBorder="1" applyAlignment="1">
      <alignment horizontal="right"/>
    </xf>
    <xf numFmtId="3" fontId="10" fillId="0" borderId="27" xfId="15" applyFont="1" applyFill="1" applyBorder="1" applyAlignment="1">
      <alignment horizontal="center" vertical="center" wrapText="1"/>
    </xf>
    <xf numFmtId="3" fontId="10" fillId="0" borderId="27" xfId="15" applyFont="1" applyFill="1" applyBorder="1" applyAlignment="1">
      <alignment horizontal="center" vertical="center"/>
    </xf>
    <xf numFmtId="0" fontId="10" fillId="0" borderId="29" xfId="0" applyFont="1" applyFill="1" applyBorder="1" applyAlignment="1">
      <alignment horizontal="left" vertical="center"/>
    </xf>
    <xf numFmtId="174" fontId="10" fillId="0" borderId="32" xfId="0" applyNumberFormat="1" applyFont="1" applyFill="1" applyBorder="1" applyAlignment="1">
      <alignment horizontal="center" vertical="center"/>
    </xf>
    <xf numFmtId="4" fontId="20" fillId="0" borderId="0" xfId="15" applyNumberFormat="1" applyFont="1" applyFill="1" applyBorder="1" applyAlignment="1">
      <alignment horizontal="right" vertical="center"/>
    </xf>
    <xf numFmtId="4" fontId="9" fillId="0" borderId="0" xfId="28" applyNumberFormat="1" applyFont="1" applyFill="1" applyBorder="1" applyAlignment="1" applyProtection="1">
      <alignment vertical="center" wrapText="1"/>
    </xf>
    <xf numFmtId="4" fontId="10" fillId="0" borderId="36" xfId="28" applyNumberFormat="1" applyFont="1" applyFill="1" applyBorder="1" applyAlignment="1" applyProtection="1">
      <alignment horizontal="center" vertical="center"/>
    </xf>
    <xf numFmtId="1" fontId="10" fillId="0" borderId="36" xfId="28" applyNumberFormat="1" applyFont="1" applyFill="1" applyBorder="1" applyAlignment="1" applyProtection="1">
      <alignment horizontal="center" vertical="center"/>
    </xf>
    <xf numFmtId="4" fontId="10" fillId="0" borderId="36" xfId="0" applyNumberFormat="1" applyFont="1" applyFill="1" applyBorder="1" applyAlignment="1">
      <alignment horizontal="center" vertical="center"/>
    </xf>
    <xf numFmtId="1" fontId="10" fillId="0" borderId="36" xfId="0" applyNumberFormat="1" applyFont="1" applyFill="1" applyBorder="1" applyAlignment="1">
      <alignment horizontal="center" vertical="center"/>
    </xf>
    <xf numFmtId="4" fontId="10" fillId="0" borderId="36" xfId="13" applyNumberFormat="1" applyFont="1" applyFill="1" applyBorder="1" applyAlignment="1">
      <alignment horizontal="center" vertical="center"/>
    </xf>
    <xf numFmtId="1" fontId="10" fillId="0" borderId="36" xfId="26" applyNumberFormat="1" applyFont="1" applyFill="1" applyBorder="1" applyAlignment="1" applyProtection="1">
      <alignment horizontal="center" vertical="center"/>
    </xf>
    <xf numFmtId="4" fontId="10" fillId="0" borderId="36" xfId="15" applyNumberFormat="1" applyFont="1" applyFill="1" applyBorder="1" applyAlignment="1">
      <alignment horizontal="center" vertical="center"/>
    </xf>
    <xf numFmtId="4" fontId="10" fillId="0" borderId="37" xfId="13" applyNumberFormat="1" applyFont="1" applyFill="1" applyBorder="1" applyAlignment="1">
      <alignment horizontal="left" vertical="center" wrapText="1"/>
    </xf>
    <xf numFmtId="4" fontId="10" fillId="0" borderId="33" xfId="0" applyNumberFormat="1" applyFont="1" applyFill="1" applyBorder="1" applyAlignment="1">
      <alignment horizontal="center" vertical="center"/>
    </xf>
    <xf numFmtId="2" fontId="10" fillId="0" borderId="36" xfId="0" applyNumberFormat="1" applyFont="1" applyFill="1" applyBorder="1" applyAlignment="1">
      <alignment horizontal="center" vertical="center"/>
    </xf>
    <xf numFmtId="4" fontId="10" fillId="0" borderId="36" xfId="0" applyNumberFormat="1" applyFont="1" applyFill="1" applyBorder="1" applyAlignment="1">
      <alignment horizontal="center" vertical="center" wrapText="1"/>
    </xf>
    <xf numFmtId="1" fontId="10" fillId="0" borderId="36" xfId="0" applyNumberFormat="1" applyFont="1" applyFill="1" applyBorder="1" applyAlignment="1">
      <alignment horizontal="center" vertical="center" wrapText="1"/>
    </xf>
    <xf numFmtId="0" fontId="10" fillId="0" borderId="36" xfId="0" applyFont="1" applyFill="1" applyBorder="1" applyAlignment="1">
      <alignment horizontal="center" vertical="center"/>
    </xf>
    <xf numFmtId="4" fontId="10" fillId="0" borderId="0" xfId="0" applyNumberFormat="1" applyFont="1" applyFill="1" applyAlignment="1">
      <alignment wrapText="1"/>
    </xf>
    <xf numFmtId="4" fontId="10" fillId="0" borderId="0" xfId="0" applyNumberFormat="1" applyFont="1" applyFill="1" applyBorder="1" applyAlignment="1">
      <alignment horizontal="center" vertical="center" wrapText="1"/>
    </xf>
    <xf numFmtId="4" fontId="10" fillId="0" borderId="37" xfId="0" applyNumberFormat="1" applyFont="1" applyFill="1" applyBorder="1" applyAlignment="1">
      <alignment horizontal="left" vertical="center" wrapText="1"/>
    </xf>
    <xf numFmtId="0" fontId="21" fillId="0" borderId="0" xfId="3" applyFont="1"/>
    <xf numFmtId="0" fontId="28" fillId="0" borderId="0" xfId="3" applyFont="1" applyAlignment="1">
      <alignment horizontal="center" vertical="center"/>
    </xf>
    <xf numFmtId="0" fontId="21" fillId="0" borderId="38" xfId="3" applyFont="1" applyBorder="1" applyAlignment="1">
      <alignment horizontal="center"/>
    </xf>
    <xf numFmtId="0" fontId="9" fillId="0" borderId="23" xfId="3" applyFont="1" applyBorder="1" applyAlignment="1">
      <alignment horizontal="center"/>
    </xf>
    <xf numFmtId="0" fontId="21" fillId="0" borderId="39" xfId="3" applyFont="1" applyBorder="1" applyAlignment="1">
      <alignment horizontal="center"/>
    </xf>
    <xf numFmtId="173" fontId="21" fillId="0" borderId="40" xfId="28" applyFont="1" applyFill="1" applyBorder="1" applyAlignment="1" applyProtection="1"/>
    <xf numFmtId="0" fontId="21" fillId="0" borderId="19" xfId="3" applyFont="1" applyBorder="1" applyAlignment="1">
      <alignment horizontal="center"/>
    </xf>
    <xf numFmtId="173" fontId="21" fillId="0" borderId="20" xfId="28" applyFont="1" applyFill="1" applyBorder="1" applyAlignment="1" applyProtection="1"/>
    <xf numFmtId="9" fontId="21" fillId="0" borderId="20" xfId="28" applyNumberFormat="1" applyFont="1" applyFill="1" applyBorder="1" applyAlignment="1" applyProtection="1"/>
    <xf numFmtId="177" fontId="21" fillId="0" borderId="20" xfId="3" applyNumberFormat="1" applyFont="1" applyBorder="1"/>
    <xf numFmtId="0" fontId="21" fillId="0" borderId="20" xfId="3" applyFont="1" applyBorder="1"/>
    <xf numFmtId="177" fontId="9" fillId="0" borderId="20" xfId="3" applyNumberFormat="1" applyFont="1" applyBorder="1"/>
    <xf numFmtId="0" fontId="21" fillId="0" borderId="41" xfId="3" applyFont="1" applyBorder="1" applyAlignment="1">
      <alignment horizontal="center"/>
    </xf>
    <xf numFmtId="177" fontId="21" fillId="0" borderId="42" xfId="3" applyNumberFormat="1" applyFont="1" applyBorder="1"/>
    <xf numFmtId="0" fontId="21" fillId="0" borderId="43" xfId="3" applyFont="1" applyBorder="1" applyAlignment="1">
      <alignment horizontal="center"/>
    </xf>
    <xf numFmtId="0" fontId="21" fillId="0" borderId="24" xfId="3" applyFont="1" applyBorder="1"/>
    <xf numFmtId="177" fontId="21" fillId="0" borderId="44" xfId="3" applyNumberFormat="1" applyFont="1" applyBorder="1"/>
    <xf numFmtId="49" fontId="22" fillId="3" borderId="45" xfId="7" applyNumberFormat="1" applyFont="1" applyFill="1" applyBorder="1" applyAlignment="1">
      <alignment horizontal="center" vertical="center"/>
    </xf>
    <xf numFmtId="49" fontId="22" fillId="0" borderId="31" xfId="7" applyNumberFormat="1" applyFont="1" applyFill="1" applyBorder="1" applyAlignment="1">
      <alignment horizontal="center" vertical="center"/>
    </xf>
    <xf numFmtId="0" fontId="21" fillId="0" borderId="31" xfId="0" applyFont="1" applyBorder="1" applyAlignment="1">
      <alignment horizontal="justify" vertical="center" wrapText="1"/>
    </xf>
    <xf numFmtId="0" fontId="22" fillId="0" borderId="31" xfId="0" applyFont="1" applyFill="1" applyBorder="1" applyAlignment="1">
      <alignment horizontal="center" vertical="center"/>
    </xf>
    <xf numFmtId="4" fontId="22" fillId="0" borderId="31" xfId="7" applyNumberFormat="1" applyFont="1" applyFill="1" applyBorder="1" applyAlignment="1">
      <alignment horizontal="center" vertical="center"/>
    </xf>
    <xf numFmtId="4" fontId="22" fillId="3" borderId="25" xfId="7" applyNumberFormat="1" applyFont="1" applyFill="1" applyBorder="1" applyAlignment="1">
      <alignment horizontal="center" vertical="center"/>
    </xf>
    <xf numFmtId="3" fontId="10" fillId="3" borderId="14" xfId="0" applyNumberFormat="1" applyFont="1" applyFill="1" applyBorder="1" applyAlignment="1">
      <alignment horizontal="center"/>
    </xf>
    <xf numFmtId="172" fontId="10" fillId="3" borderId="14" xfId="0" applyNumberFormat="1" applyFont="1" applyFill="1" applyBorder="1" applyAlignment="1">
      <alignment horizontal="center"/>
    </xf>
    <xf numFmtId="3" fontId="10" fillId="0" borderId="14" xfId="0" applyNumberFormat="1" applyFont="1" applyFill="1" applyBorder="1" applyAlignment="1">
      <alignment horizontal="right" vertical="center"/>
    </xf>
    <xf numFmtId="3" fontId="10" fillId="0" borderId="14" xfId="0" applyNumberFormat="1" applyFont="1" applyFill="1" applyBorder="1" applyAlignment="1">
      <alignment horizontal="center" vertical="center"/>
    </xf>
    <xf numFmtId="175" fontId="10" fillId="0" borderId="14" xfId="0" applyNumberFormat="1" applyFont="1" applyFill="1" applyBorder="1" applyAlignment="1">
      <alignment horizontal="right" vertical="center"/>
    </xf>
    <xf numFmtId="3" fontId="10" fillId="0" borderId="14" xfId="0" applyNumberFormat="1" applyFont="1" applyFill="1" applyBorder="1" applyAlignment="1">
      <alignment horizontal="center" vertical="center" wrapText="1"/>
    </xf>
    <xf numFmtId="2" fontId="10" fillId="0" borderId="29" xfId="0" applyNumberFormat="1" applyFont="1" applyFill="1" applyBorder="1" applyAlignment="1">
      <alignment horizontal="right" vertical="center"/>
    </xf>
    <xf numFmtId="2" fontId="10" fillId="0" borderId="36" xfId="0" applyNumberFormat="1" applyFont="1" applyFill="1" applyBorder="1" applyAlignment="1">
      <alignment vertical="center"/>
    </xf>
    <xf numFmtId="0" fontId="6" fillId="0" borderId="0" xfId="7" applyFont="1" applyBorder="1" applyAlignment="1"/>
    <xf numFmtId="0" fontId="32" fillId="0" borderId="0" xfId="0" applyFont="1"/>
    <xf numFmtId="0" fontId="32" fillId="0" borderId="0" xfId="0" applyFont="1" applyBorder="1" applyAlignment="1">
      <alignment vertical="center"/>
    </xf>
    <xf numFmtId="0" fontId="32" fillId="0" borderId="46" xfId="0" applyFont="1" applyBorder="1" applyAlignment="1">
      <alignment vertical="center"/>
    </xf>
    <xf numFmtId="0" fontId="32" fillId="0" borderId="0" xfId="0" applyFont="1" applyBorder="1" applyAlignment="1">
      <alignment horizontal="left" vertical="center"/>
    </xf>
    <xf numFmtId="164" fontId="0" fillId="0" borderId="0" xfId="28" applyNumberFormat="1" applyFont="1" applyBorder="1" applyAlignment="1">
      <alignment horizontal="right"/>
    </xf>
    <xf numFmtId="49" fontId="10" fillId="0" borderId="36" xfId="26" applyNumberFormat="1" applyFont="1" applyFill="1" applyBorder="1" applyAlignment="1" applyProtection="1">
      <alignment horizontal="center" vertical="center"/>
    </xf>
    <xf numFmtId="0" fontId="10" fillId="0" borderId="31" xfId="0" applyFont="1" applyFill="1" applyBorder="1" applyAlignment="1">
      <alignment horizontal="center" vertical="center"/>
    </xf>
    <xf numFmtId="0" fontId="10" fillId="0" borderId="27" xfId="0" applyFont="1" applyFill="1" applyBorder="1" applyAlignment="1">
      <alignment horizontal="left" vertical="center"/>
    </xf>
    <xf numFmtId="3" fontId="10" fillId="0" borderId="29" xfId="0" applyNumberFormat="1" applyFont="1" applyFill="1" applyBorder="1" applyAlignment="1">
      <alignment horizontal="center" vertical="center" wrapText="1"/>
    </xf>
    <xf numFmtId="3" fontId="10" fillId="0" borderId="26" xfId="0" applyNumberFormat="1" applyFont="1" applyFill="1" applyBorder="1" applyAlignment="1">
      <alignment horizontal="center" vertical="center" wrapText="1"/>
    </xf>
    <xf numFmtId="3" fontId="10" fillId="3" borderId="27" xfId="0" applyNumberFormat="1" applyFont="1" applyFill="1" applyBorder="1" applyAlignment="1">
      <alignment wrapText="1"/>
    </xf>
    <xf numFmtId="3" fontId="10" fillId="0" borderId="27" xfId="0" applyNumberFormat="1" applyFont="1" applyFill="1" applyBorder="1" applyAlignment="1">
      <alignment horizontal="center" vertical="center"/>
    </xf>
    <xf numFmtId="3" fontId="10" fillId="0" borderId="19" xfId="0" applyNumberFormat="1" applyFont="1" applyFill="1" applyBorder="1" applyAlignment="1">
      <alignment horizontal="right" vertical="center"/>
    </xf>
    <xf numFmtId="3" fontId="10" fillId="0" borderId="0" xfId="0" applyNumberFormat="1" applyFont="1" applyFill="1" applyBorder="1" applyAlignment="1">
      <alignment horizontal="center" vertical="top"/>
    </xf>
    <xf numFmtId="3" fontId="10" fillId="0" borderId="0" xfId="0" applyNumberFormat="1" applyFont="1" applyFill="1" applyBorder="1" applyAlignment="1">
      <alignment horizontal="right" vertical="top"/>
    </xf>
    <xf numFmtId="174" fontId="10" fillId="0" borderId="0" xfId="0" applyNumberFormat="1" applyFont="1" applyFill="1" applyBorder="1" applyAlignment="1">
      <alignment horizontal="right" vertical="top"/>
    </xf>
    <xf numFmtId="0" fontId="10" fillId="0" borderId="0" xfId="0" applyFont="1" applyBorder="1"/>
    <xf numFmtId="3" fontId="30" fillId="4" borderId="0" xfId="0" applyNumberFormat="1" applyFont="1" applyFill="1" applyBorder="1" applyAlignment="1">
      <alignment horizontal="center" vertical="center"/>
    </xf>
    <xf numFmtId="3" fontId="10" fillId="0" borderId="0" xfId="0" applyNumberFormat="1" applyFont="1" applyFill="1" applyBorder="1" applyAlignment="1">
      <alignment horizontal="left" vertical="top"/>
    </xf>
    <xf numFmtId="3" fontId="10" fillId="0" borderId="0" xfId="0" applyNumberFormat="1" applyFont="1" applyFill="1" applyBorder="1" applyAlignment="1">
      <alignment horizontal="left" vertical="center"/>
    </xf>
    <xf numFmtId="3" fontId="10" fillId="0" borderId="0" xfId="0" applyNumberFormat="1" applyFont="1" applyFill="1" applyBorder="1" applyAlignment="1">
      <alignment horizontal="right" vertical="center"/>
    </xf>
    <xf numFmtId="175" fontId="10" fillId="0" borderId="0" xfId="0" applyNumberFormat="1" applyFont="1" applyFill="1" applyBorder="1" applyAlignment="1">
      <alignment horizontal="right" vertical="center"/>
    </xf>
    <xf numFmtId="4" fontId="10" fillId="0" borderId="0" xfId="0" applyNumberFormat="1" applyFont="1" applyFill="1" applyBorder="1" applyAlignment="1">
      <alignment vertical="center"/>
    </xf>
    <xf numFmtId="3" fontId="9" fillId="0" borderId="0" xfId="0" applyNumberFormat="1" applyFont="1" applyFill="1" applyBorder="1" applyAlignment="1"/>
    <xf numFmtId="3" fontId="10" fillId="0" borderId="0" xfId="0" applyNumberFormat="1" applyFont="1" applyFill="1" applyBorder="1" applyAlignment="1">
      <alignment vertical="center"/>
    </xf>
    <xf numFmtId="0" fontId="6" fillId="0" borderId="47" xfId="0" applyFont="1" applyBorder="1" applyAlignment="1">
      <alignment vertical="distributed" wrapText="1"/>
    </xf>
    <xf numFmtId="0" fontId="6" fillId="0" borderId="48" xfId="0" applyFont="1" applyBorder="1" applyAlignment="1">
      <alignment vertical="distributed" wrapText="1"/>
    </xf>
    <xf numFmtId="0" fontId="33" fillId="0" borderId="23" xfId="0" applyFont="1" applyBorder="1" applyAlignment="1">
      <alignment horizontal="center" vertical="center"/>
    </xf>
    <xf numFmtId="0" fontId="33" fillId="0" borderId="49" xfId="0" applyFont="1" applyBorder="1" applyAlignment="1">
      <alignment horizontal="center"/>
    </xf>
    <xf numFmtId="0" fontId="33" fillId="0" borderId="49" xfId="0" applyFont="1" applyBorder="1" applyAlignment="1">
      <alignment horizontal="center" vertical="center"/>
    </xf>
    <xf numFmtId="0" fontId="33" fillId="0" borderId="50" xfId="0" applyFont="1" applyBorder="1" applyAlignment="1">
      <alignment horizontal="center" vertical="center"/>
    </xf>
    <xf numFmtId="0" fontId="34" fillId="0" borderId="51" xfId="0" applyFont="1" applyBorder="1" applyAlignment="1">
      <alignment horizontal="center"/>
    </xf>
    <xf numFmtId="173" fontId="34" fillId="0" borderId="51" xfId="28" applyFont="1" applyBorder="1"/>
    <xf numFmtId="0" fontId="33" fillId="0" borderId="50" xfId="0" applyFont="1" applyBorder="1" applyAlignment="1">
      <alignment horizontal="center"/>
    </xf>
    <xf numFmtId="0" fontId="34" fillId="0" borderId="0" xfId="0" applyFont="1" applyBorder="1"/>
    <xf numFmtId="164" fontId="34" fillId="0" borderId="52" xfId="28" applyNumberFormat="1" applyFont="1" applyBorder="1" applyAlignment="1">
      <alignment horizontal="right"/>
    </xf>
    <xf numFmtId="0" fontId="34" fillId="0" borderId="36" xfId="0" applyFont="1" applyBorder="1" applyAlignment="1">
      <alignment horizontal="center"/>
    </xf>
    <xf numFmtId="164" fontId="34" fillId="0" borderId="53" xfId="28" applyNumberFormat="1" applyFont="1" applyBorder="1" applyAlignment="1">
      <alignment horizontal="center"/>
    </xf>
    <xf numFmtId="164" fontId="34" fillId="0" borderId="53" xfId="28" applyNumberFormat="1" applyFont="1" applyBorder="1" applyAlignment="1">
      <alignment horizontal="right"/>
    </xf>
    <xf numFmtId="0" fontId="34" fillId="0" borderId="0" xfId="0" applyFont="1"/>
    <xf numFmtId="0" fontId="34" fillId="0" borderId="53" xfId="0" applyFont="1" applyBorder="1" applyAlignment="1">
      <alignment horizontal="center"/>
    </xf>
    <xf numFmtId="0" fontId="33" fillId="0" borderId="49" xfId="0" applyFont="1" applyBorder="1" applyAlignment="1">
      <alignment horizontal="center" vertical="center" wrapText="1"/>
    </xf>
    <xf numFmtId="2" fontId="34" fillId="0" borderId="51" xfId="0" applyNumberFormat="1" applyFont="1" applyBorder="1" applyAlignment="1"/>
    <xf numFmtId="164" fontId="34" fillId="0" borderId="51" xfId="28" applyNumberFormat="1" applyFont="1" applyFill="1" applyBorder="1" applyAlignment="1">
      <alignment horizontal="right"/>
    </xf>
    <xf numFmtId="2" fontId="34" fillId="0" borderId="36" xfId="0" applyNumberFormat="1" applyFont="1" applyBorder="1" applyAlignment="1"/>
    <xf numFmtId="164" fontId="34" fillId="0" borderId="36" xfId="28" applyNumberFormat="1" applyFont="1" applyFill="1" applyBorder="1" applyAlignment="1">
      <alignment horizontal="right"/>
    </xf>
    <xf numFmtId="2" fontId="34" fillId="0" borderId="53" xfId="0" applyNumberFormat="1" applyFont="1" applyBorder="1" applyAlignment="1"/>
    <xf numFmtId="2" fontId="34" fillId="0" borderId="0" xfId="0" applyNumberFormat="1" applyFont="1" applyBorder="1" applyAlignment="1"/>
    <xf numFmtId="0" fontId="34" fillId="0" borderId="0" xfId="0" applyFont="1" applyBorder="1" applyAlignment="1"/>
    <xf numFmtId="164" fontId="34" fillId="0" borderId="0" xfId="28" applyNumberFormat="1" applyFont="1" applyBorder="1" applyAlignment="1">
      <alignment horizontal="right"/>
    </xf>
    <xf numFmtId="2" fontId="34" fillId="0" borderId="0" xfId="0" applyNumberFormat="1" applyFont="1" applyBorder="1"/>
    <xf numFmtId="2" fontId="34" fillId="0" borderId="36" xfId="0" applyNumberFormat="1" applyFont="1" applyBorder="1"/>
    <xf numFmtId="2" fontId="34" fillId="0" borderId="53" xfId="0" applyNumberFormat="1" applyFont="1" applyBorder="1"/>
    <xf numFmtId="164" fontId="34" fillId="0" borderId="36" xfId="28" applyNumberFormat="1" applyFont="1" applyBorder="1" applyAlignment="1">
      <alignment horizontal="right"/>
    </xf>
    <xf numFmtId="0" fontId="35" fillId="0" borderId="0" xfId="0" applyFont="1" applyBorder="1" applyAlignment="1">
      <alignment horizontal="left"/>
    </xf>
    <xf numFmtId="0" fontId="34" fillId="0" borderId="54" xfId="0" applyFont="1" applyBorder="1" applyAlignment="1">
      <alignment horizontal="center" vertical="center"/>
    </xf>
    <xf numFmtId="164" fontId="34" fillId="0" borderId="51" xfId="28" applyNumberFormat="1" applyFont="1" applyBorder="1" applyAlignment="1">
      <alignment horizontal="right"/>
    </xf>
    <xf numFmtId="0" fontId="34" fillId="0" borderId="36" xfId="0" applyFont="1" applyBorder="1" applyAlignment="1">
      <alignment horizontal="center" vertical="center"/>
    </xf>
    <xf numFmtId="164" fontId="34" fillId="0" borderId="55" xfId="28" applyNumberFormat="1" applyFont="1" applyBorder="1" applyAlignment="1">
      <alignment horizontal="right"/>
    </xf>
    <xf numFmtId="2" fontId="34" fillId="0" borderId="46" xfId="0" applyNumberFormat="1" applyFont="1" applyBorder="1" applyAlignment="1">
      <alignment vertical="center"/>
    </xf>
    <xf numFmtId="2" fontId="34" fillId="0" borderId="46" xfId="0" applyNumberFormat="1" applyFont="1" applyBorder="1" applyAlignment="1"/>
    <xf numFmtId="4" fontId="36" fillId="0" borderId="0" xfId="0" applyNumberFormat="1" applyFont="1" applyAlignment="1">
      <alignment wrapText="1"/>
    </xf>
    <xf numFmtId="4" fontId="36" fillId="0" borderId="0" xfId="0" applyNumberFormat="1" applyFont="1" applyBorder="1" applyAlignment="1">
      <alignment wrapText="1"/>
    </xf>
    <xf numFmtId="0" fontId="10" fillId="0" borderId="0" xfId="7" applyFont="1" applyFill="1" applyBorder="1" applyAlignment="1">
      <alignment horizontal="center" vertical="center" wrapText="1"/>
    </xf>
    <xf numFmtId="176" fontId="16" fillId="0" borderId="0" xfId="16" applyNumberFormat="1"/>
    <xf numFmtId="0" fontId="10" fillId="0" borderId="0" xfId="0" applyFont="1" applyAlignment="1">
      <alignment horizontal="right"/>
    </xf>
    <xf numFmtId="164" fontId="34" fillId="0" borderId="33" xfId="28" applyNumberFormat="1" applyFont="1" applyBorder="1" applyAlignment="1">
      <alignment horizontal="right"/>
    </xf>
    <xf numFmtId="0" fontId="34" fillId="0" borderId="56" xfId="0" applyFont="1" applyBorder="1" applyAlignment="1">
      <alignment horizontal="center" vertical="center"/>
    </xf>
    <xf numFmtId="164" fontId="34" fillId="0" borderId="56" xfId="28" applyNumberFormat="1" applyFont="1" applyBorder="1" applyAlignment="1">
      <alignment horizontal="right"/>
    </xf>
    <xf numFmtId="0" fontId="34" fillId="0" borderId="56" xfId="0" applyFont="1" applyBorder="1" applyAlignment="1">
      <alignment vertical="center"/>
    </xf>
    <xf numFmtId="164" fontId="34" fillId="0" borderId="57" xfId="28" applyNumberFormat="1" applyFont="1" applyBorder="1" applyAlignment="1">
      <alignment horizontal="right"/>
    </xf>
    <xf numFmtId="0" fontId="21" fillId="0" borderId="14" xfId="0" applyFont="1" applyFill="1" applyBorder="1" applyAlignment="1">
      <alignment horizontal="justify" vertical="center" wrapText="1"/>
    </xf>
    <xf numFmtId="4" fontId="22" fillId="0" borderId="26" xfId="7" applyNumberFormat="1" applyFont="1" applyFill="1" applyBorder="1" applyAlignment="1">
      <alignment horizontal="center" vertical="center"/>
    </xf>
    <xf numFmtId="3" fontId="10" fillId="3" borderId="14" xfId="0" applyNumberFormat="1" applyFont="1" applyFill="1" applyBorder="1" applyAlignment="1">
      <alignment horizontal="center" vertical="center"/>
    </xf>
    <xf numFmtId="0" fontId="10" fillId="0" borderId="0" xfId="7" applyFont="1" applyFill="1" applyBorder="1" applyAlignment="1">
      <alignment vertical="center" wrapText="1"/>
    </xf>
    <xf numFmtId="4" fontId="22" fillId="0" borderId="58" xfId="7" applyNumberFormat="1" applyFont="1" applyFill="1" applyBorder="1" applyAlignment="1">
      <alignment horizontal="center" vertical="center"/>
    </xf>
    <xf numFmtId="4" fontId="22" fillId="3" borderId="58" xfId="7" applyNumberFormat="1" applyFont="1" applyFill="1" applyBorder="1" applyAlignment="1">
      <alignment horizontal="center" vertical="center"/>
    </xf>
    <xf numFmtId="174" fontId="10" fillId="3" borderId="14" xfId="0" applyNumberFormat="1" applyFont="1" applyFill="1" applyBorder="1" applyAlignment="1">
      <alignment horizontal="right"/>
    </xf>
    <xf numFmtId="2" fontId="10" fillId="3" borderId="14" xfId="0" applyNumberFormat="1" applyFont="1" applyFill="1" applyBorder="1" applyAlignment="1">
      <alignment horizontal="center"/>
    </xf>
    <xf numFmtId="3" fontId="10" fillId="3" borderId="14" xfId="0" applyNumberFormat="1" applyFont="1" applyFill="1" applyBorder="1" applyAlignment="1">
      <alignment horizontal="right" vertical="center"/>
    </xf>
    <xf numFmtId="174" fontId="10" fillId="3" borderId="14" xfId="0" applyNumberFormat="1" applyFont="1" applyFill="1" applyBorder="1" applyAlignment="1">
      <alignment horizontal="right" vertical="center"/>
    </xf>
    <xf numFmtId="3" fontId="10" fillId="3" borderId="29" xfId="0" applyNumberFormat="1" applyFont="1" applyFill="1" applyBorder="1" applyAlignment="1">
      <alignment horizontal="left" wrapText="1"/>
    </xf>
    <xf numFmtId="4" fontId="10" fillId="3" borderId="25" xfId="0" applyNumberFormat="1" applyFont="1" applyFill="1" applyBorder="1" applyAlignment="1"/>
    <xf numFmtId="3" fontId="10" fillId="3" borderId="27" xfId="0" applyNumberFormat="1" applyFont="1" applyFill="1" applyBorder="1" applyAlignment="1">
      <alignment horizontal="center" vertical="center"/>
    </xf>
    <xf numFmtId="3" fontId="10" fillId="3" borderId="27" xfId="0" applyNumberFormat="1" applyFont="1" applyFill="1" applyBorder="1" applyAlignment="1">
      <alignment horizontal="left" vertical="center" wrapText="1"/>
    </xf>
    <xf numFmtId="2" fontId="10" fillId="0" borderId="59" xfId="0" applyNumberFormat="1" applyFont="1" applyFill="1" applyBorder="1" applyAlignment="1">
      <alignment horizontal="justify" wrapText="1"/>
    </xf>
    <xf numFmtId="3" fontId="10" fillId="0" borderId="37" xfId="0" applyNumberFormat="1" applyFont="1" applyFill="1" applyBorder="1" applyAlignment="1">
      <alignment wrapText="1"/>
    </xf>
    <xf numFmtId="49" fontId="22" fillId="0" borderId="58" xfId="7" applyNumberFormat="1" applyFont="1" applyFill="1" applyBorder="1" applyAlignment="1">
      <alignment horizontal="center" vertical="center"/>
    </xf>
    <xf numFmtId="0" fontId="21" fillId="0" borderId="58" xfId="0" applyFont="1" applyBorder="1" applyAlignment="1">
      <alignment horizontal="justify" vertical="center" wrapText="1"/>
    </xf>
    <xf numFmtId="0" fontId="22" fillId="0" borderId="58" xfId="0" applyFont="1" applyFill="1" applyBorder="1" applyAlignment="1">
      <alignment horizontal="center" vertical="center"/>
    </xf>
    <xf numFmtId="4" fontId="22" fillId="0" borderId="7" xfId="7" applyNumberFormat="1" applyFont="1" applyFill="1" applyBorder="1" applyAlignment="1">
      <alignment horizontal="center" vertical="center"/>
    </xf>
    <xf numFmtId="4" fontId="22" fillId="3" borderId="31" xfId="7" applyNumberFormat="1" applyFont="1" applyFill="1" applyBorder="1" applyAlignment="1">
      <alignment horizontal="center" vertical="center"/>
    </xf>
    <xf numFmtId="173" fontId="34" fillId="0" borderId="60" xfId="28" applyFont="1" applyBorder="1"/>
    <xf numFmtId="164" fontId="34" fillId="0" borderId="61" xfId="28" applyNumberFormat="1" applyFont="1" applyBorder="1" applyAlignment="1">
      <alignment horizontal="right"/>
    </xf>
    <xf numFmtId="164" fontId="34" fillId="0" borderId="62" xfId="28" applyNumberFormat="1" applyFont="1" applyBorder="1" applyAlignment="1">
      <alignment horizontal="right"/>
    </xf>
    <xf numFmtId="0" fontId="34" fillId="0" borderId="19" xfId="0" applyFont="1" applyBorder="1" applyAlignment="1">
      <alignment horizontal="left"/>
    </xf>
    <xf numFmtId="164" fontId="34" fillId="0" borderId="20" xfId="0" applyNumberFormat="1" applyFont="1" applyBorder="1"/>
    <xf numFmtId="164" fontId="34" fillId="0" borderId="63" xfId="0" applyNumberFormat="1" applyFont="1" applyBorder="1"/>
    <xf numFmtId="164" fontId="34" fillId="0" borderId="64" xfId="0" applyNumberFormat="1" applyFont="1" applyBorder="1"/>
    <xf numFmtId="0" fontId="35" fillId="0" borderId="19" xfId="0" applyFont="1" applyBorder="1" applyAlignment="1">
      <alignment horizontal="left"/>
    </xf>
    <xf numFmtId="164" fontId="32" fillId="0" borderId="20" xfId="28" applyNumberFormat="1" applyFont="1" applyBorder="1" applyAlignment="1">
      <alignment horizontal="right"/>
    </xf>
    <xf numFmtId="164" fontId="34" fillId="0" borderId="65" xfId="0" applyNumberFormat="1" applyFont="1" applyBorder="1"/>
    <xf numFmtId="164" fontId="34" fillId="0" borderId="60" xfId="28" applyNumberFormat="1" applyFont="1" applyBorder="1" applyAlignment="1">
      <alignment horizontal="right"/>
    </xf>
    <xf numFmtId="164" fontId="34" fillId="0" borderId="63" xfId="28" applyNumberFormat="1" applyFont="1" applyBorder="1"/>
    <xf numFmtId="0" fontId="32" fillId="0" borderId="19" xfId="0" applyFont="1" applyBorder="1" applyAlignment="1">
      <alignment horizontal="left" vertical="center"/>
    </xf>
    <xf numFmtId="0" fontId="34" fillId="0" borderId="20" xfId="0" applyFont="1" applyBorder="1"/>
    <xf numFmtId="0" fontId="33" fillId="0" borderId="49" xfId="0" applyFont="1" applyFill="1" applyBorder="1" applyAlignment="1">
      <alignment horizontal="center" vertical="center"/>
    </xf>
    <xf numFmtId="0" fontId="33" fillId="0" borderId="49" xfId="0" applyFont="1" applyFill="1" applyBorder="1" applyAlignment="1">
      <alignment horizontal="center" vertical="center" wrapText="1"/>
    </xf>
    <xf numFmtId="0" fontId="33" fillId="0" borderId="50" xfId="0" applyFont="1" applyFill="1" applyBorder="1" applyAlignment="1">
      <alignment horizontal="center" vertical="center"/>
    </xf>
    <xf numFmtId="4" fontId="10" fillId="0" borderId="7" xfId="0" applyNumberFormat="1" applyFont="1" applyFill="1" applyBorder="1" applyAlignment="1">
      <alignment horizontal="center" vertical="center"/>
    </xf>
    <xf numFmtId="0" fontId="10" fillId="0" borderId="59" xfId="0" applyFont="1" applyFill="1" applyBorder="1" applyAlignment="1">
      <alignment vertical="center" wrapText="1"/>
    </xf>
    <xf numFmtId="172" fontId="10" fillId="0" borderId="58" xfId="0" applyNumberFormat="1" applyFont="1" applyFill="1" applyBorder="1" applyAlignment="1">
      <alignment horizontal="center" vertical="center"/>
    </xf>
    <xf numFmtId="2" fontId="10" fillId="0" borderId="58" xfId="0" applyNumberFormat="1" applyFont="1" applyFill="1" applyBorder="1" applyAlignment="1">
      <alignment horizontal="center" vertical="center"/>
    </xf>
    <xf numFmtId="172" fontId="10" fillId="0" borderId="36" xfId="0" applyNumberFormat="1" applyFont="1" applyFill="1" applyBorder="1" applyAlignment="1">
      <alignment horizontal="center" vertical="center"/>
    </xf>
    <xf numFmtId="0" fontId="33" fillId="0" borderId="66" xfId="0" applyFont="1" applyBorder="1" applyAlignment="1">
      <alignment horizontal="center" vertical="center" wrapText="1"/>
    </xf>
    <xf numFmtId="0" fontId="34" fillId="0" borderId="67" xfId="0" applyFont="1" applyBorder="1" applyAlignment="1">
      <alignment horizontal="center" vertical="center"/>
    </xf>
    <xf numFmtId="0" fontId="34" fillId="0" borderId="49" xfId="0" applyFont="1" applyFill="1" applyBorder="1" applyAlignment="1">
      <alignment horizontal="center" vertical="center"/>
    </xf>
    <xf numFmtId="164" fontId="34" fillId="0" borderId="56" xfId="28" applyNumberFormat="1" applyFont="1" applyFill="1" applyBorder="1" applyAlignment="1">
      <alignment horizontal="right"/>
    </xf>
    <xf numFmtId="164" fontId="34" fillId="0" borderId="57" xfId="28" applyNumberFormat="1" applyFont="1" applyFill="1" applyBorder="1" applyAlignment="1">
      <alignment horizontal="right"/>
    </xf>
    <xf numFmtId="3" fontId="10" fillId="3" borderId="36" xfId="0" applyNumberFormat="1" applyFont="1" applyFill="1" applyBorder="1" applyAlignment="1">
      <alignment horizontal="center" vertical="center"/>
    </xf>
    <xf numFmtId="0" fontId="10" fillId="0" borderId="37" xfId="0" applyFont="1" applyFill="1" applyBorder="1" applyAlignment="1">
      <alignment horizontal="left" vertical="center" wrapText="1"/>
    </xf>
    <xf numFmtId="4" fontId="10" fillId="0" borderId="26" xfId="15" applyNumberFormat="1" applyFont="1" applyFill="1" applyBorder="1" applyAlignment="1">
      <alignment horizontal="center" vertical="center"/>
    </xf>
    <xf numFmtId="4" fontId="10" fillId="0" borderId="33" xfId="15" applyNumberFormat="1" applyFont="1" applyFill="1" applyBorder="1" applyAlignment="1">
      <alignment horizontal="center" vertical="center" wrapText="1"/>
    </xf>
    <xf numFmtId="174" fontId="10" fillId="3" borderId="14" xfId="0" applyNumberFormat="1" applyFont="1" applyFill="1" applyBorder="1" applyAlignment="1">
      <alignment horizontal="center" vertical="center"/>
    </xf>
    <xf numFmtId="2" fontId="10" fillId="3" borderId="14" xfId="0" applyNumberFormat="1" applyFont="1" applyFill="1" applyBorder="1" applyAlignment="1">
      <alignment horizontal="center" vertical="center" wrapText="1"/>
    </xf>
    <xf numFmtId="3" fontId="10" fillId="3" borderId="26" xfId="0" applyNumberFormat="1" applyFont="1" applyFill="1" applyBorder="1" applyAlignment="1">
      <alignment horizontal="center" vertical="center"/>
    </xf>
    <xf numFmtId="172" fontId="10" fillId="3" borderId="14" xfId="0" applyNumberFormat="1" applyFont="1" applyFill="1" applyBorder="1" applyAlignment="1">
      <alignment horizontal="center" vertical="center"/>
    </xf>
    <xf numFmtId="164" fontId="33" fillId="0" borderId="50" xfId="28" applyNumberFormat="1" applyFont="1" applyFill="1" applyBorder="1" applyAlignment="1">
      <alignment horizontal="right" vertical="center"/>
    </xf>
    <xf numFmtId="164" fontId="33" fillId="0" borderId="50" xfId="28" applyNumberFormat="1" applyFont="1" applyBorder="1" applyAlignment="1">
      <alignment horizontal="right" vertical="center"/>
    </xf>
    <xf numFmtId="164" fontId="32" fillId="0" borderId="50" xfId="28" applyNumberFormat="1" applyFont="1" applyBorder="1" applyAlignment="1">
      <alignment horizontal="right" vertical="center"/>
    </xf>
    <xf numFmtId="0" fontId="35" fillId="0" borderId="19" xfId="0" applyFont="1" applyBorder="1" applyAlignment="1">
      <alignment horizontal="left" vertical="center"/>
    </xf>
    <xf numFmtId="0" fontId="35" fillId="0" borderId="0" xfId="0" applyFont="1" applyBorder="1" applyAlignment="1">
      <alignment horizontal="left" vertical="center"/>
    </xf>
    <xf numFmtId="164" fontId="33" fillId="0" borderId="20" xfId="28" applyNumberFormat="1" applyFont="1" applyBorder="1" applyAlignment="1">
      <alignment horizontal="right" vertical="center"/>
    </xf>
    <xf numFmtId="4" fontId="10" fillId="0" borderId="26" xfId="0" applyNumberFormat="1" applyFont="1" applyFill="1" applyBorder="1" applyAlignment="1">
      <alignment horizontal="right" vertical="center" wrapText="1"/>
    </xf>
    <xf numFmtId="0" fontId="34" fillId="0" borderId="68" xfId="0" applyFont="1" applyBorder="1" applyAlignment="1">
      <alignment horizontal="left" vertical="center"/>
    </xf>
    <xf numFmtId="0" fontId="34" fillId="0" borderId="46" xfId="0" applyFont="1" applyBorder="1" applyAlignment="1">
      <alignment horizontal="left" vertical="center"/>
    </xf>
    <xf numFmtId="173" fontId="34" fillId="0" borderId="51" xfId="28" applyFont="1" applyBorder="1" applyAlignment="1">
      <alignment horizontal="center"/>
    </xf>
    <xf numFmtId="164" fontId="34" fillId="0" borderId="33" xfId="0" applyNumberFormat="1" applyFont="1" applyBorder="1"/>
    <xf numFmtId="164" fontId="34" fillId="0" borderId="62" xfId="0" applyNumberFormat="1" applyFont="1" applyBorder="1"/>
    <xf numFmtId="164" fontId="32" fillId="0" borderId="0" xfId="28" applyNumberFormat="1" applyFont="1" applyBorder="1" applyAlignment="1">
      <alignment horizontal="right"/>
    </xf>
    <xf numFmtId="164" fontId="32" fillId="0" borderId="69" xfId="28" applyNumberFormat="1" applyFont="1" applyFill="1" applyBorder="1" applyAlignment="1">
      <alignment horizontal="right" vertical="center"/>
    </xf>
    <xf numFmtId="0" fontId="34" fillId="0" borderId="54" xfId="0" applyFont="1" applyFill="1" applyBorder="1" applyAlignment="1">
      <alignment horizontal="center"/>
    </xf>
    <xf numFmtId="164" fontId="34" fillId="0" borderId="54" xfId="28" applyNumberFormat="1" applyFont="1" applyFill="1" applyBorder="1" applyAlignment="1">
      <alignment horizontal="right"/>
    </xf>
    <xf numFmtId="164" fontId="34" fillId="0" borderId="70" xfId="0" applyNumberFormat="1" applyFont="1" applyFill="1" applyBorder="1"/>
    <xf numFmtId="4" fontId="24" fillId="12" borderId="23" xfId="0" applyNumberFormat="1" applyFont="1" applyFill="1" applyBorder="1" applyAlignment="1">
      <alignment horizontal="center" vertical="center"/>
    </xf>
    <xf numFmtId="4" fontId="22" fillId="0" borderId="71" xfId="7" applyNumberFormat="1" applyFont="1" applyFill="1" applyBorder="1" applyAlignment="1">
      <alignment horizontal="center" vertical="center"/>
    </xf>
    <xf numFmtId="49" fontId="25" fillId="5" borderId="72" xfId="7" applyNumberFormat="1" applyFont="1" applyFill="1" applyBorder="1" applyAlignment="1">
      <alignment horizontal="center" vertical="center"/>
    </xf>
    <xf numFmtId="49" fontId="22" fillId="3" borderId="59" xfId="7" applyNumberFormat="1" applyFont="1" applyFill="1" applyBorder="1" applyAlignment="1">
      <alignment horizontal="center" vertical="center"/>
    </xf>
    <xf numFmtId="0" fontId="22" fillId="0" borderId="58" xfId="7" applyFont="1" applyFill="1" applyBorder="1" applyAlignment="1">
      <alignment horizontal="justify" vertical="center" wrapText="1"/>
    </xf>
    <xf numFmtId="49" fontId="22" fillId="3" borderId="73" xfId="7" applyNumberFormat="1" applyFont="1" applyFill="1" applyBorder="1" applyAlignment="1">
      <alignment horizontal="center" vertical="center"/>
    </xf>
    <xf numFmtId="0" fontId="21" fillId="0" borderId="58" xfId="0" applyFont="1" applyFill="1" applyBorder="1" applyAlignment="1">
      <alignment horizontal="justify" vertical="center" wrapText="1"/>
    </xf>
    <xf numFmtId="4" fontId="22" fillId="3" borderId="74" xfId="7" applyNumberFormat="1" applyFont="1" applyFill="1" applyBorder="1" applyAlignment="1">
      <alignment horizontal="center" vertical="center"/>
    </xf>
    <xf numFmtId="49" fontId="25" fillId="5" borderId="75" xfId="7" applyNumberFormat="1" applyFont="1" applyFill="1" applyBorder="1" applyAlignment="1">
      <alignment horizontal="center" vertical="center"/>
    </xf>
    <xf numFmtId="4" fontId="12" fillId="5" borderId="76" xfId="7" applyNumberFormat="1" applyFont="1" applyFill="1" applyBorder="1" applyAlignment="1">
      <alignment horizontal="center" vertical="center"/>
    </xf>
    <xf numFmtId="2" fontId="12" fillId="3" borderId="58" xfId="20" applyNumberFormat="1" applyFont="1" applyFill="1" applyBorder="1" applyAlignment="1" applyProtection="1">
      <alignment horizontal="center" vertical="center"/>
    </xf>
    <xf numFmtId="4" fontId="12" fillId="3" borderId="74" xfId="7" applyNumberFormat="1" applyFont="1" applyFill="1" applyBorder="1" applyAlignment="1">
      <alignment horizontal="center" vertical="center"/>
    </xf>
    <xf numFmtId="0" fontId="22" fillId="3" borderId="31" xfId="7" applyFont="1" applyFill="1" applyBorder="1" applyAlignment="1">
      <alignment horizontal="justify" vertical="center" wrapText="1"/>
    </xf>
    <xf numFmtId="49" fontId="12" fillId="6" borderId="72" xfId="7" applyNumberFormat="1" applyFont="1" applyFill="1" applyBorder="1" applyAlignment="1">
      <alignment horizontal="center" vertical="center"/>
    </xf>
    <xf numFmtId="3" fontId="10" fillId="3" borderId="77" xfId="0" applyNumberFormat="1" applyFont="1" applyFill="1" applyBorder="1" applyAlignment="1">
      <alignment horizontal="center" vertical="center"/>
    </xf>
    <xf numFmtId="4" fontId="10" fillId="3" borderId="14" xfId="0" applyNumberFormat="1" applyFont="1" applyFill="1" applyBorder="1" applyAlignment="1">
      <alignment horizontal="center" vertical="center"/>
    </xf>
    <xf numFmtId="4" fontId="10" fillId="3" borderId="26" xfId="0" applyNumberFormat="1" applyFont="1" applyFill="1" applyBorder="1" applyAlignment="1">
      <alignment horizontal="right" vertical="center"/>
    </xf>
    <xf numFmtId="174" fontId="10" fillId="3" borderId="78" xfId="0" applyNumberFormat="1" applyFont="1" applyFill="1" applyBorder="1" applyAlignment="1">
      <alignment horizontal="center" vertical="center"/>
    </xf>
    <xf numFmtId="2" fontId="10" fillId="3" borderId="14" xfId="0" applyNumberFormat="1" applyFont="1" applyFill="1" applyBorder="1" applyAlignment="1">
      <alignment horizontal="center" vertical="center"/>
    </xf>
    <xf numFmtId="3" fontId="10" fillId="0" borderId="36" xfId="0" applyNumberFormat="1" applyFont="1" applyFill="1" applyBorder="1" applyAlignment="1">
      <alignment horizontal="center" vertical="center"/>
    </xf>
    <xf numFmtId="3" fontId="10" fillId="4" borderId="0" xfId="0" applyNumberFormat="1" applyFont="1" applyFill="1" applyBorder="1"/>
    <xf numFmtId="173" fontId="10" fillId="0" borderId="0" xfId="28" applyFont="1"/>
    <xf numFmtId="4" fontId="10" fillId="0" borderId="37" xfId="0" applyNumberFormat="1" applyFont="1" applyFill="1" applyBorder="1" applyAlignment="1">
      <alignment wrapText="1"/>
    </xf>
    <xf numFmtId="4" fontId="10" fillId="0" borderId="37" xfId="15" applyNumberFormat="1" applyFont="1" applyFill="1" applyBorder="1" applyAlignment="1">
      <alignment horizontal="left" vertical="center" wrapText="1"/>
    </xf>
    <xf numFmtId="2" fontId="10" fillId="0" borderId="37" xfId="0" applyNumberFormat="1" applyFont="1" applyFill="1" applyBorder="1" applyAlignment="1">
      <alignment horizontal="justify" vertical="center" wrapText="1"/>
    </xf>
    <xf numFmtId="4" fontId="10" fillId="0" borderId="0" xfId="0" applyNumberFormat="1" applyFont="1" applyFill="1" applyAlignment="1">
      <alignment horizontal="right" vertical="center"/>
    </xf>
    <xf numFmtId="0" fontId="10" fillId="0" borderId="0" xfId="0" applyFont="1" applyAlignment="1">
      <alignment vertical="center"/>
    </xf>
    <xf numFmtId="3" fontId="10" fillId="3" borderId="29" xfId="0" applyNumberFormat="1" applyFont="1" applyFill="1" applyBorder="1" applyAlignment="1">
      <alignment horizontal="center" vertical="center"/>
    </xf>
    <xf numFmtId="174" fontId="10" fillId="3" borderId="13" xfId="0" applyNumberFormat="1" applyFont="1" applyFill="1" applyBorder="1" applyAlignment="1">
      <alignment horizontal="center" vertical="center"/>
    </xf>
    <xf numFmtId="174" fontId="10" fillId="3" borderId="36" xfId="0" applyNumberFormat="1" applyFont="1" applyFill="1" applyBorder="1" applyAlignment="1">
      <alignment horizontal="right" vertical="center"/>
    </xf>
    <xf numFmtId="3" fontId="10" fillId="3" borderId="28" xfId="0" applyNumberFormat="1" applyFont="1" applyFill="1" applyBorder="1" applyAlignment="1">
      <alignment horizontal="center" vertical="center"/>
    </xf>
    <xf numFmtId="4" fontId="10" fillId="3" borderId="25" xfId="0" applyNumberFormat="1" applyFont="1" applyFill="1" applyBorder="1" applyAlignment="1">
      <alignment vertical="center"/>
    </xf>
    <xf numFmtId="4" fontId="10" fillId="3" borderId="26" xfId="0" applyNumberFormat="1" applyFont="1" applyFill="1" applyBorder="1" applyAlignment="1">
      <alignment horizontal="center" vertical="center"/>
    </xf>
    <xf numFmtId="3" fontId="10" fillId="3" borderId="80" xfId="0" applyNumberFormat="1" applyFont="1" applyFill="1" applyBorder="1" applyAlignment="1">
      <alignment horizontal="center" vertical="center"/>
    </xf>
    <xf numFmtId="3" fontId="10" fillId="3" borderId="34" xfId="0" applyNumberFormat="1" applyFont="1" applyFill="1" applyBorder="1" applyAlignment="1">
      <alignment horizontal="center" vertical="center"/>
    </xf>
    <xf numFmtId="174" fontId="10" fillId="3" borderId="58" xfId="0" applyNumberFormat="1" applyFont="1" applyFill="1" applyBorder="1" applyAlignment="1">
      <alignment horizontal="right" vertical="center"/>
    </xf>
    <xf numFmtId="3" fontId="10" fillId="3" borderId="58" xfId="0" applyNumberFormat="1" applyFont="1" applyFill="1" applyBorder="1" applyAlignment="1">
      <alignment horizontal="center" vertical="center"/>
    </xf>
    <xf numFmtId="3" fontId="10" fillId="3" borderId="37" xfId="0" applyNumberFormat="1" applyFont="1" applyFill="1" applyBorder="1" applyAlignment="1">
      <alignment horizontal="center" vertical="center"/>
    </xf>
    <xf numFmtId="3" fontId="10" fillId="3" borderId="78" xfId="0" applyNumberFormat="1" applyFont="1" applyFill="1" applyBorder="1" applyAlignment="1">
      <alignment horizontal="center" vertical="center"/>
    </xf>
    <xf numFmtId="0" fontId="10" fillId="0" borderId="29" xfId="0" applyFont="1" applyFill="1" applyBorder="1" applyAlignment="1">
      <alignment horizontal="center" vertical="center"/>
    </xf>
    <xf numFmtId="173" fontId="10" fillId="0" borderId="0" xfId="28" applyFont="1" applyAlignment="1">
      <alignment vertical="center"/>
    </xf>
    <xf numFmtId="0" fontId="10" fillId="0" borderId="80" xfId="0" applyFont="1" applyFill="1" applyBorder="1" applyAlignment="1">
      <alignment horizontal="center" vertical="center"/>
    </xf>
    <xf numFmtId="4" fontId="10" fillId="0" borderId="58" xfId="0" applyNumberFormat="1" applyFont="1" applyFill="1" applyBorder="1" applyAlignment="1">
      <alignment horizontal="center" vertical="center"/>
    </xf>
    <xf numFmtId="174" fontId="10" fillId="0" borderId="58" xfId="0" applyNumberFormat="1" applyFont="1" applyFill="1" applyBorder="1" applyAlignment="1">
      <alignment horizontal="center" vertical="center"/>
    </xf>
    <xf numFmtId="174" fontId="10" fillId="0" borderId="58" xfId="0" applyNumberFormat="1" applyFont="1" applyFill="1" applyBorder="1" applyAlignment="1">
      <alignment horizontal="right" vertical="center"/>
    </xf>
    <xf numFmtId="0" fontId="10" fillId="0" borderId="58" xfId="0" applyFont="1" applyFill="1" applyBorder="1" applyAlignment="1">
      <alignment horizontal="center" vertical="center"/>
    </xf>
    <xf numFmtId="4" fontId="10" fillId="0" borderId="0" xfId="0" applyNumberFormat="1" applyFont="1" applyFill="1" applyAlignment="1">
      <alignment horizontal="center" vertical="center"/>
    </xf>
    <xf numFmtId="0" fontId="10" fillId="0" borderId="0" xfId="0" applyFont="1" applyAlignment="1">
      <alignment horizontal="center" vertical="center"/>
    </xf>
    <xf numFmtId="0" fontId="10" fillId="0" borderId="0" xfId="0" applyNumberFormat="1" applyFont="1" applyFill="1" applyBorder="1" applyAlignment="1">
      <alignment horizontal="right" vertical="center"/>
    </xf>
    <xf numFmtId="0" fontId="10" fillId="0" borderId="0" xfId="0" applyFont="1" applyBorder="1" applyAlignment="1">
      <alignment vertical="center"/>
    </xf>
    <xf numFmtId="3" fontId="10" fillId="0" borderId="0" xfId="0" applyNumberFormat="1" applyFont="1" applyFill="1" applyBorder="1" applyAlignment="1">
      <alignment horizontal="center" vertical="center"/>
    </xf>
    <xf numFmtId="174" fontId="10" fillId="0" borderId="0" xfId="0" applyNumberFormat="1" applyFont="1" applyFill="1" applyBorder="1" applyAlignment="1">
      <alignment horizontal="right" vertical="center"/>
    </xf>
    <xf numFmtId="174" fontId="10" fillId="0" borderId="0" xfId="0" applyNumberFormat="1" applyFont="1" applyFill="1" applyBorder="1" applyAlignment="1">
      <alignment horizontal="center" vertical="center"/>
    </xf>
    <xf numFmtId="2" fontId="10" fillId="0" borderId="0" xfId="0" applyNumberFormat="1" applyFont="1" applyFill="1" applyBorder="1" applyAlignment="1">
      <alignment horizontal="center" vertical="center"/>
    </xf>
    <xf numFmtId="172" fontId="10" fillId="0" borderId="0" xfId="0" applyNumberFormat="1" applyFont="1" applyFill="1" applyBorder="1" applyAlignment="1">
      <alignment horizontal="right" vertical="center"/>
    </xf>
    <xf numFmtId="4" fontId="10" fillId="0" borderId="25" xfId="0" applyNumberFormat="1" applyFont="1" applyFill="1" applyBorder="1" applyAlignment="1">
      <alignment vertical="center"/>
    </xf>
    <xf numFmtId="3" fontId="10" fillId="0" borderId="29" xfId="0" applyNumberFormat="1" applyFont="1" applyFill="1" applyBorder="1" applyAlignment="1">
      <alignment horizontal="center" vertical="center"/>
    </xf>
    <xf numFmtId="3" fontId="10" fillId="0" borderId="26" xfId="0" applyNumberFormat="1" applyFont="1" applyFill="1" applyBorder="1" applyAlignment="1">
      <alignment horizontal="center" vertical="center"/>
    </xf>
    <xf numFmtId="3" fontId="10" fillId="0" borderId="34" xfId="0" applyNumberFormat="1" applyFont="1" applyFill="1" applyBorder="1" applyAlignment="1">
      <alignment horizontal="center" vertical="center"/>
    </xf>
    <xf numFmtId="3" fontId="10" fillId="0" borderId="29" xfId="15" applyFont="1" applyFill="1" applyBorder="1" applyAlignment="1">
      <alignment horizontal="center" vertical="center"/>
    </xf>
    <xf numFmtId="174" fontId="10" fillId="0" borderId="14" xfId="15" applyNumberFormat="1" applyFont="1" applyFill="1" applyBorder="1" applyAlignment="1">
      <alignment horizontal="right" vertical="center"/>
    </xf>
    <xf numFmtId="0" fontId="10" fillId="0" borderId="14" xfId="0" applyFont="1" applyFill="1" applyBorder="1" applyAlignment="1">
      <alignment vertical="center"/>
    </xf>
    <xf numFmtId="0" fontId="10" fillId="0" borderId="0" xfId="0" applyFont="1" applyFill="1" applyBorder="1" applyAlignment="1">
      <alignment vertical="center"/>
    </xf>
    <xf numFmtId="4" fontId="18" fillId="0" borderId="27" xfId="13" applyNumberFormat="1" applyFont="1" applyFill="1" applyBorder="1" applyAlignment="1">
      <alignment horizontal="justify" vertical="center" wrapText="1"/>
    </xf>
    <xf numFmtId="0" fontId="9" fillId="0" borderId="0" xfId="7" applyFont="1" applyFill="1" applyBorder="1" applyAlignment="1">
      <alignment vertical="center"/>
    </xf>
    <xf numFmtId="4" fontId="10" fillId="7" borderId="36" xfId="0" applyNumberFormat="1" applyFont="1" applyFill="1" applyBorder="1" applyAlignment="1">
      <alignment horizontal="center" vertical="center"/>
    </xf>
    <xf numFmtId="2" fontId="10" fillId="7" borderId="36" xfId="28" applyNumberFormat="1" applyFont="1" applyFill="1" applyBorder="1" applyAlignment="1">
      <alignment horizontal="center" vertical="center"/>
    </xf>
    <xf numFmtId="0" fontId="10" fillId="7" borderId="36" xfId="0" applyFont="1" applyFill="1" applyBorder="1" applyAlignment="1">
      <alignment horizontal="center" vertical="center"/>
    </xf>
    <xf numFmtId="4" fontId="12" fillId="6" borderId="81" xfId="7" applyNumberFormat="1" applyFont="1" applyFill="1" applyBorder="1" applyAlignment="1">
      <alignment horizontal="center" vertical="center"/>
    </xf>
    <xf numFmtId="4" fontId="12" fillId="6" borderId="23" xfId="7" applyNumberFormat="1" applyFont="1" applyFill="1" applyBorder="1" applyAlignment="1">
      <alignment horizontal="center" vertical="center"/>
    </xf>
    <xf numFmtId="4" fontId="12" fillId="5" borderId="81" xfId="7" applyNumberFormat="1" applyFont="1" applyFill="1" applyBorder="1" applyAlignment="1">
      <alignment horizontal="center" vertical="center"/>
    </xf>
    <xf numFmtId="3" fontId="10" fillId="3" borderId="36" xfId="0" applyNumberFormat="1" applyFont="1" applyFill="1" applyBorder="1" applyAlignment="1">
      <alignment horizontal="left" vertical="center"/>
    </xf>
    <xf numFmtId="0" fontId="10" fillId="0" borderId="36" xfId="0" applyFont="1" applyFill="1" applyBorder="1" applyAlignment="1">
      <alignment horizontal="left" vertical="center"/>
    </xf>
    <xf numFmtId="3" fontId="10" fillId="0" borderId="36" xfId="0" applyNumberFormat="1" applyFont="1" applyFill="1" applyBorder="1" applyAlignment="1">
      <alignment horizontal="left" vertical="center"/>
    </xf>
    <xf numFmtId="3" fontId="10" fillId="0" borderId="36" xfId="15" applyFont="1" applyFill="1" applyBorder="1" applyAlignment="1">
      <alignment horizontal="center" vertical="center"/>
    </xf>
    <xf numFmtId="3" fontId="10" fillId="0" borderId="36" xfId="15" applyFont="1" applyFill="1" applyBorder="1" applyAlignment="1">
      <alignment horizontal="left" vertical="center"/>
    </xf>
    <xf numFmtId="3" fontId="17" fillId="8" borderId="72" xfId="15" applyFont="1" applyFill="1" applyBorder="1" applyAlignment="1">
      <alignment horizontal="center" vertical="center"/>
    </xf>
    <xf numFmtId="1" fontId="17" fillId="8" borderId="72" xfId="15" applyNumberFormat="1" applyFont="1" applyFill="1" applyBorder="1" applyAlignment="1">
      <alignment horizontal="center" vertical="center"/>
    </xf>
    <xf numFmtId="49" fontId="17" fillId="8" borderId="72" xfId="15" applyNumberFormat="1" applyFont="1" applyFill="1" applyBorder="1" applyAlignment="1">
      <alignment horizontal="center" vertical="center"/>
    </xf>
    <xf numFmtId="3" fontId="30" fillId="4" borderId="72" xfId="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1" fontId="10" fillId="0" borderId="0" xfId="0" applyNumberFormat="1" applyFont="1" applyFill="1" applyBorder="1" applyAlignment="1">
      <alignment horizontal="center" vertical="center"/>
    </xf>
    <xf numFmtId="1" fontId="23" fillId="0" borderId="0" xfId="0" applyNumberFormat="1" applyFont="1" applyFill="1" applyBorder="1" applyAlignment="1">
      <alignment horizontal="center" vertical="center"/>
    </xf>
    <xf numFmtId="4" fontId="9" fillId="0" borderId="0" xfId="0" applyNumberFormat="1" applyFont="1" applyFill="1" applyBorder="1" applyAlignment="1">
      <alignment vertical="center" wrapText="1"/>
    </xf>
    <xf numFmtId="1" fontId="10" fillId="0" borderId="0" xfId="0" applyNumberFormat="1" applyFont="1" applyFill="1" applyAlignment="1">
      <alignment horizontal="center" vertical="center"/>
    </xf>
    <xf numFmtId="3" fontId="10" fillId="0" borderId="37" xfId="0" applyNumberFormat="1" applyFont="1" applyFill="1" applyBorder="1" applyAlignment="1">
      <alignment vertical="center" wrapText="1"/>
    </xf>
    <xf numFmtId="4" fontId="10" fillId="0" borderId="37" xfId="0" applyNumberFormat="1" applyFont="1" applyFill="1" applyBorder="1" applyAlignment="1">
      <alignment horizontal="justify" vertical="center" wrapText="1"/>
    </xf>
    <xf numFmtId="3" fontId="10" fillId="3" borderId="29" xfId="0" applyNumberFormat="1" applyFont="1" applyFill="1" applyBorder="1" applyAlignment="1">
      <alignment horizontal="left" vertical="center" wrapText="1"/>
    </xf>
    <xf numFmtId="3" fontId="10" fillId="0" borderId="80" xfId="0" applyNumberFormat="1" applyFont="1" applyFill="1" applyBorder="1" applyAlignment="1">
      <alignment horizontal="left" vertical="center"/>
    </xf>
    <xf numFmtId="3" fontId="10" fillId="0" borderId="58" xfId="0" applyNumberFormat="1" applyFont="1" applyFill="1" applyBorder="1" applyAlignment="1">
      <alignment horizontal="center" vertical="center"/>
    </xf>
    <xf numFmtId="174" fontId="10" fillId="0" borderId="84" xfId="0" applyNumberFormat="1" applyFont="1" applyFill="1" applyBorder="1" applyAlignment="1">
      <alignment horizontal="right" vertical="center"/>
    </xf>
    <xf numFmtId="174" fontId="10" fillId="0" borderId="53" xfId="0" applyNumberFormat="1" applyFont="1" applyFill="1" applyBorder="1" applyAlignment="1">
      <alignment horizontal="right" vertical="center"/>
    </xf>
    <xf numFmtId="4" fontId="10" fillId="3" borderId="53" xfId="0" applyNumberFormat="1" applyFont="1" applyFill="1" applyBorder="1" applyAlignment="1">
      <alignment horizontal="center" vertical="center"/>
    </xf>
    <xf numFmtId="4" fontId="10" fillId="0" borderId="28" xfId="0" applyNumberFormat="1" applyFont="1" applyFill="1" applyBorder="1" applyAlignment="1">
      <alignment vertical="center"/>
    </xf>
    <xf numFmtId="3" fontId="10" fillId="0" borderId="37" xfId="0" applyNumberFormat="1" applyFont="1" applyFill="1" applyBorder="1" applyAlignment="1">
      <alignment horizontal="left" vertical="center"/>
    </xf>
    <xf numFmtId="174" fontId="10" fillId="0" borderId="36" xfId="0" applyNumberFormat="1" applyFont="1" applyFill="1" applyBorder="1" applyAlignment="1">
      <alignment horizontal="right" vertical="center"/>
    </xf>
    <xf numFmtId="4" fontId="10" fillId="3" borderId="36" xfId="0" applyNumberFormat="1" applyFont="1" applyFill="1" applyBorder="1" applyAlignment="1">
      <alignment horizontal="center" vertical="center"/>
    </xf>
    <xf numFmtId="4" fontId="10" fillId="3" borderId="26" xfId="0" applyNumberFormat="1" applyFont="1" applyFill="1" applyBorder="1" applyAlignment="1">
      <alignment vertical="center"/>
    </xf>
    <xf numFmtId="3" fontId="10" fillId="3" borderId="31" xfId="0" applyNumberFormat="1" applyFont="1" applyFill="1" applyBorder="1" applyAlignment="1">
      <alignment horizontal="center" vertical="center"/>
    </xf>
    <xf numFmtId="172" fontId="10" fillId="3" borderId="31" xfId="0" applyNumberFormat="1" applyFont="1" applyFill="1" applyBorder="1" applyAlignment="1">
      <alignment horizontal="right" vertical="center"/>
    </xf>
    <xf numFmtId="3" fontId="10" fillId="0" borderId="29" xfId="0" applyNumberFormat="1" applyFont="1" applyFill="1" applyBorder="1" applyAlignment="1">
      <alignment horizontal="left" vertical="center"/>
    </xf>
    <xf numFmtId="174" fontId="10" fillId="0" borderId="15" xfId="0" applyNumberFormat="1" applyFont="1" applyFill="1" applyBorder="1" applyAlignment="1">
      <alignment horizontal="right" vertical="center"/>
    </xf>
    <xf numFmtId="174" fontId="10" fillId="0" borderId="51" xfId="0" applyNumberFormat="1" applyFont="1" applyFill="1" applyBorder="1" applyAlignment="1">
      <alignment horizontal="right" vertical="center"/>
    </xf>
    <xf numFmtId="4" fontId="10" fillId="3" borderId="51" xfId="0" applyNumberFormat="1" applyFont="1" applyFill="1" applyBorder="1" applyAlignment="1">
      <alignment horizontal="center" vertical="center"/>
    </xf>
    <xf numFmtId="174" fontId="10" fillId="0" borderId="13" xfId="0" applyNumberFormat="1" applyFont="1" applyFill="1" applyBorder="1" applyAlignment="1">
      <alignment horizontal="right" vertical="center"/>
    </xf>
    <xf numFmtId="3" fontId="10" fillId="3" borderId="37" xfId="0" applyNumberFormat="1" applyFont="1" applyFill="1" applyBorder="1" applyAlignment="1">
      <alignment horizontal="left" vertical="center"/>
    </xf>
    <xf numFmtId="3" fontId="10" fillId="3" borderId="19" xfId="0" applyNumberFormat="1" applyFont="1" applyFill="1" applyBorder="1" applyAlignment="1">
      <alignment horizontal="left" vertical="center" wrapText="1"/>
    </xf>
    <xf numFmtId="3" fontId="10" fillId="3" borderId="37" xfId="0" applyNumberFormat="1" applyFont="1" applyFill="1" applyBorder="1" applyAlignment="1">
      <alignment vertical="center" wrapText="1"/>
    </xf>
    <xf numFmtId="3" fontId="10" fillId="0" borderId="45" xfId="0" applyNumberFormat="1" applyFont="1" applyFill="1" applyBorder="1" applyAlignment="1">
      <alignment vertical="center" wrapText="1"/>
    </xf>
    <xf numFmtId="2" fontId="10" fillId="0" borderId="59" xfId="0" applyNumberFormat="1" applyFont="1" applyFill="1" applyBorder="1" applyAlignment="1">
      <alignment horizontal="justify" vertical="center" wrapText="1"/>
    </xf>
    <xf numFmtId="3" fontId="10" fillId="0" borderId="85" xfId="0" applyNumberFormat="1" applyFont="1" applyFill="1" applyBorder="1" applyAlignment="1">
      <alignment horizontal="left" vertical="center"/>
    </xf>
    <xf numFmtId="3" fontId="10" fillId="0" borderId="53" xfId="0" applyNumberFormat="1" applyFont="1" applyFill="1" applyBorder="1" applyAlignment="1">
      <alignment horizontal="center" vertical="center"/>
    </xf>
    <xf numFmtId="3" fontId="10" fillId="3" borderId="27" xfId="0" applyNumberFormat="1" applyFont="1" applyFill="1" applyBorder="1" applyAlignment="1">
      <alignment horizontal="left" vertical="center"/>
    </xf>
    <xf numFmtId="172" fontId="10" fillId="3" borderId="14" xfId="0" applyNumberFormat="1" applyFont="1" applyFill="1" applyBorder="1" applyAlignment="1">
      <alignment vertical="center"/>
    </xf>
    <xf numFmtId="172" fontId="10" fillId="0" borderId="58" xfId="0" applyNumberFormat="1" applyFont="1" applyFill="1" applyBorder="1" applyAlignment="1">
      <alignment horizontal="right" vertical="center"/>
    </xf>
    <xf numFmtId="2" fontId="10" fillId="0" borderId="83" xfId="0" applyNumberFormat="1" applyFont="1" applyFill="1" applyBorder="1" applyAlignment="1">
      <alignment horizontal="justify" vertical="center" wrapText="1"/>
    </xf>
    <xf numFmtId="3" fontId="10" fillId="3" borderId="86" xfId="0" applyNumberFormat="1" applyFont="1" applyFill="1" applyBorder="1" applyAlignment="1">
      <alignment horizontal="center" vertical="center"/>
    </xf>
    <xf numFmtId="174" fontId="10" fillId="3" borderId="87" xfId="0" applyNumberFormat="1" applyFont="1" applyFill="1" applyBorder="1" applyAlignment="1">
      <alignment horizontal="center" vertical="center"/>
    </xf>
    <xf numFmtId="174" fontId="10" fillId="0" borderId="71" xfId="0" applyNumberFormat="1" applyFont="1" applyFill="1" applyBorder="1" applyAlignment="1">
      <alignment horizontal="right" vertical="center"/>
    </xf>
    <xf numFmtId="4" fontId="10" fillId="0" borderId="88" xfId="0" applyNumberFormat="1" applyFont="1" applyFill="1" applyBorder="1" applyAlignment="1">
      <alignment horizontal="right" vertical="center"/>
    </xf>
    <xf numFmtId="172" fontId="10" fillId="0" borderId="53" xfId="0" applyNumberFormat="1" applyFont="1" applyFill="1" applyBorder="1" applyAlignment="1">
      <alignment horizontal="center" vertical="center"/>
    </xf>
    <xf numFmtId="3" fontId="10" fillId="3" borderId="27" xfId="0" applyNumberFormat="1" applyFont="1" applyFill="1" applyBorder="1" applyAlignment="1">
      <alignment vertical="center" wrapText="1"/>
    </xf>
    <xf numFmtId="172" fontId="10" fillId="3" borderId="14" xfId="0" applyNumberFormat="1" applyFont="1" applyFill="1" applyBorder="1" applyAlignment="1">
      <alignment horizontal="right" vertical="center"/>
    </xf>
    <xf numFmtId="3" fontId="10" fillId="3" borderId="59" xfId="0" applyNumberFormat="1" applyFont="1" applyFill="1" applyBorder="1" applyAlignment="1">
      <alignment horizontal="left" vertical="center"/>
    </xf>
    <xf numFmtId="174" fontId="10" fillId="0" borderId="36" xfId="0" applyNumberFormat="1" applyFont="1" applyFill="1" applyBorder="1" applyAlignment="1">
      <alignment horizontal="center" vertical="center"/>
    </xf>
    <xf numFmtId="3" fontId="10" fillId="3" borderId="29" xfId="0" applyNumberFormat="1" applyFont="1" applyFill="1" applyBorder="1" applyAlignment="1">
      <alignment horizontal="left" vertical="center"/>
    </xf>
    <xf numFmtId="3" fontId="10" fillId="0" borderId="59" xfId="0" applyNumberFormat="1" applyFont="1" applyFill="1" applyBorder="1" applyAlignment="1">
      <alignment horizontal="left" vertical="center"/>
    </xf>
    <xf numFmtId="172" fontId="10" fillId="0" borderId="14" xfId="0" applyNumberFormat="1" applyFont="1" applyFill="1" applyBorder="1" applyAlignment="1">
      <alignment horizontal="right" vertical="center"/>
    </xf>
    <xf numFmtId="175" fontId="10" fillId="0" borderId="14" xfId="0" applyNumberFormat="1" applyFont="1" applyFill="1" applyBorder="1" applyAlignment="1">
      <alignment horizontal="center" vertical="center"/>
    </xf>
    <xf numFmtId="3" fontId="10" fillId="3" borderId="0" xfId="0" applyNumberFormat="1" applyFont="1" applyFill="1" applyBorder="1" applyAlignment="1">
      <alignment horizontal="left" vertical="center" wrapText="1"/>
    </xf>
    <xf numFmtId="3" fontId="10" fillId="3" borderId="0" xfId="0" applyNumberFormat="1" applyFont="1" applyFill="1" applyBorder="1" applyAlignment="1">
      <alignment horizontal="center" vertical="center"/>
    </xf>
    <xf numFmtId="172" fontId="10" fillId="3" borderId="0" xfId="0" applyNumberFormat="1" applyFont="1" applyFill="1" applyBorder="1" applyAlignment="1">
      <alignment horizontal="right" vertical="center"/>
    </xf>
    <xf numFmtId="3" fontId="9" fillId="0" borderId="0" xfId="0" applyNumberFormat="1" applyFont="1" applyFill="1" applyBorder="1" applyAlignment="1">
      <alignment vertical="center"/>
    </xf>
    <xf numFmtId="3" fontId="10" fillId="0" borderId="0" xfId="0" applyNumberFormat="1" applyFont="1" applyBorder="1" applyAlignment="1">
      <alignment vertical="center"/>
    </xf>
    <xf numFmtId="3" fontId="10" fillId="0" borderId="0" xfId="0" applyNumberFormat="1" applyFont="1" applyBorder="1" applyAlignment="1">
      <alignment horizontal="right" vertical="center"/>
    </xf>
    <xf numFmtId="172" fontId="10" fillId="0" borderId="31" xfId="0" applyNumberFormat="1" applyFont="1" applyFill="1" applyBorder="1" applyAlignment="1">
      <alignment horizontal="center" vertical="center"/>
    </xf>
    <xf numFmtId="4" fontId="10" fillId="0" borderId="0" xfId="0" applyNumberFormat="1" applyFont="1" applyFill="1" applyBorder="1" applyAlignment="1">
      <alignment horizontal="right" vertical="center" wrapText="1"/>
    </xf>
    <xf numFmtId="3" fontId="10" fillId="0" borderId="27" xfId="0" applyNumberFormat="1" applyFont="1" applyFill="1" applyBorder="1" applyAlignment="1">
      <alignment horizontal="left" vertical="center" wrapText="1"/>
    </xf>
    <xf numFmtId="175" fontId="10" fillId="3" borderId="14" xfId="0" applyNumberFormat="1" applyFont="1" applyFill="1" applyBorder="1" applyAlignment="1">
      <alignment horizontal="right" vertical="center"/>
    </xf>
    <xf numFmtId="4" fontId="9" fillId="0" borderId="25" xfId="15" applyNumberFormat="1" applyFont="1" applyFill="1" applyBorder="1" applyAlignment="1">
      <alignment horizontal="right" vertical="center"/>
    </xf>
    <xf numFmtId="4" fontId="9" fillId="0" borderId="0" xfId="15" applyNumberFormat="1" applyFont="1" applyFill="1" applyBorder="1" applyAlignment="1">
      <alignment horizontal="right" vertical="center"/>
    </xf>
    <xf numFmtId="3" fontId="10" fillId="0" borderId="29" xfId="15" applyFont="1" applyFill="1" applyBorder="1" applyAlignment="1">
      <alignment horizontal="left" vertical="center"/>
    </xf>
    <xf numFmtId="4" fontId="10" fillId="0" borderId="14" xfId="6" applyNumberFormat="1" applyFont="1" applyFill="1" applyBorder="1" applyAlignment="1">
      <alignment horizontal="center" vertical="center"/>
    </xf>
    <xf numFmtId="0" fontId="10" fillId="0" borderId="19" xfId="0" applyFont="1" applyFill="1" applyBorder="1" applyAlignment="1">
      <alignment vertical="center"/>
    </xf>
    <xf numFmtId="4" fontId="10" fillId="0" borderId="20" xfId="0" applyNumberFormat="1" applyFont="1" applyFill="1" applyBorder="1" applyAlignment="1">
      <alignment horizontal="right" vertical="center"/>
    </xf>
    <xf numFmtId="4" fontId="9" fillId="0" borderId="26" xfId="15" applyNumberFormat="1" applyFont="1" applyFill="1" applyBorder="1" applyAlignment="1">
      <alignment horizontal="right" vertical="center"/>
    </xf>
    <xf numFmtId="4" fontId="10" fillId="0" borderId="29" xfId="0" applyNumberFormat="1" applyFont="1" applyFill="1" applyBorder="1" applyAlignment="1">
      <alignment vertical="center"/>
    </xf>
    <xf numFmtId="0" fontId="10" fillId="0" borderId="89" xfId="0" applyFont="1" applyFill="1" applyBorder="1" applyAlignment="1">
      <alignment vertical="center"/>
    </xf>
    <xf numFmtId="0" fontId="10" fillId="0" borderId="89" xfId="0" applyFont="1" applyFill="1" applyBorder="1" applyAlignment="1">
      <alignment horizontal="center" vertical="center"/>
    </xf>
    <xf numFmtId="4" fontId="10" fillId="0" borderId="89" xfId="0" applyNumberFormat="1" applyFont="1" applyFill="1" applyBorder="1" applyAlignment="1">
      <alignment horizontal="right" vertical="center"/>
    </xf>
    <xf numFmtId="4" fontId="10" fillId="0" borderId="27" xfId="0" applyNumberFormat="1" applyFont="1" applyFill="1" applyBorder="1" applyAlignment="1">
      <alignment vertical="center"/>
    </xf>
    <xf numFmtId="169" fontId="10" fillId="0" borderId="14" xfId="0" applyNumberFormat="1" applyFont="1" applyFill="1" applyBorder="1" applyAlignment="1">
      <alignment horizontal="center" vertical="center"/>
    </xf>
    <xf numFmtId="3" fontId="10" fillId="0" borderId="27" xfId="15" applyFont="1" applyFill="1" applyBorder="1" applyAlignment="1">
      <alignment horizontal="left" vertical="center"/>
    </xf>
    <xf numFmtId="3" fontId="10" fillId="0" borderId="27" xfId="15"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Alignment="1"/>
    <xf numFmtId="0" fontId="0" fillId="0" borderId="0" xfId="0" applyBorder="1" applyAlignment="1"/>
    <xf numFmtId="10" fontId="0" fillId="0" borderId="0" xfId="28" applyNumberFormat="1" applyFont="1" applyBorder="1"/>
    <xf numFmtId="4" fontId="23" fillId="0" borderId="0" xfId="0" applyNumberFormat="1" applyFont="1" applyBorder="1" applyAlignment="1">
      <alignment horizontal="center" vertical="center"/>
    </xf>
    <xf numFmtId="4" fontId="10" fillId="0" borderId="0" xfId="5" applyNumberFormat="1" applyFont="1" applyFill="1" applyBorder="1" applyAlignment="1" applyProtection="1">
      <alignment horizontal="center" vertical="center"/>
    </xf>
    <xf numFmtId="2" fontId="10" fillId="0" borderId="0" xfId="5" applyNumberFormat="1" applyFont="1" applyFill="1" applyBorder="1" applyAlignment="1" applyProtection="1">
      <alignment horizontal="center" vertical="center"/>
    </xf>
    <xf numFmtId="2" fontId="10" fillId="0" borderId="0" xfId="28" applyNumberFormat="1" applyFont="1" applyFill="1" applyBorder="1" applyAlignment="1" applyProtection="1">
      <alignment horizontal="center" vertical="center"/>
    </xf>
    <xf numFmtId="3" fontId="10" fillId="3" borderId="14" xfId="0" applyNumberFormat="1" applyFont="1" applyFill="1" applyBorder="1" applyAlignment="1">
      <alignment horizontal="right" vertical="center"/>
    </xf>
    <xf numFmtId="0" fontId="10" fillId="0" borderId="29" xfId="0" applyFont="1" applyFill="1" applyBorder="1" applyAlignment="1">
      <alignment horizontal="left" vertical="center" wrapText="1"/>
    </xf>
    <xf numFmtId="3" fontId="10" fillId="0" borderId="14" xfId="0" applyNumberFormat="1" applyFont="1" applyFill="1" applyBorder="1" applyAlignment="1">
      <alignment horizontal="right" vertical="center"/>
    </xf>
    <xf numFmtId="0" fontId="10" fillId="0" borderId="27" xfId="0" applyFont="1" applyFill="1" applyBorder="1" applyAlignment="1">
      <alignment horizontal="left" vertical="center" wrapText="1"/>
    </xf>
    <xf numFmtId="3" fontId="10" fillId="0" borderId="0" xfId="0" applyNumberFormat="1" applyFont="1" applyFill="1" applyBorder="1" applyAlignment="1">
      <alignment horizontal="right" vertical="center"/>
    </xf>
    <xf numFmtId="4" fontId="10" fillId="12" borderId="36" xfId="28" applyNumberFormat="1" applyFont="1" applyFill="1" applyBorder="1" applyAlignment="1" applyProtection="1">
      <alignment horizontal="center" vertical="center"/>
    </xf>
    <xf numFmtId="4" fontId="10" fillId="12" borderId="36" xfId="5" applyNumberFormat="1" applyFont="1" applyFill="1" applyBorder="1" applyAlignment="1" applyProtection="1">
      <alignment horizontal="center" vertical="center"/>
    </xf>
    <xf numFmtId="2" fontId="10" fillId="12" borderId="36" xfId="5" applyNumberFormat="1" applyFont="1" applyFill="1" applyBorder="1" applyAlignment="1" applyProtection="1">
      <alignment horizontal="center" vertical="center"/>
    </xf>
    <xf numFmtId="4" fontId="10" fillId="12" borderId="36" xfId="0" applyNumberFormat="1" applyFont="1" applyFill="1" applyBorder="1" applyAlignment="1">
      <alignment horizontal="center" vertical="center"/>
    </xf>
    <xf numFmtId="2" fontId="10" fillId="12" borderId="36" xfId="0" applyNumberFormat="1" applyFont="1" applyFill="1" applyBorder="1" applyAlignment="1">
      <alignment horizontal="center" vertical="center"/>
    </xf>
    <xf numFmtId="4" fontId="10" fillId="12" borderId="36" xfId="0" applyNumberFormat="1" applyFont="1" applyFill="1" applyBorder="1" applyAlignment="1">
      <alignment horizontal="center" vertical="center" wrapText="1"/>
    </xf>
    <xf numFmtId="2" fontId="10" fillId="12" borderId="36" xfId="28" applyNumberFormat="1" applyFont="1" applyFill="1" applyBorder="1" applyAlignment="1" applyProtection="1">
      <alignment horizontal="center" vertical="center"/>
    </xf>
    <xf numFmtId="173" fontId="22" fillId="0" borderId="20" xfId="28" applyFont="1" applyFill="1" applyBorder="1" applyAlignment="1" applyProtection="1"/>
    <xf numFmtId="3" fontId="10" fillId="3" borderId="31" xfId="0" applyNumberFormat="1" applyFont="1" applyFill="1" applyBorder="1" applyAlignment="1">
      <alignment horizontal="center"/>
    </xf>
    <xf numFmtId="172" fontId="10" fillId="3" borderId="32" xfId="0" applyNumberFormat="1" applyFont="1" applyFill="1" applyBorder="1" applyAlignment="1">
      <alignment horizontal="right"/>
    </xf>
    <xf numFmtId="3" fontId="10" fillId="3" borderId="7" xfId="0" applyNumberFormat="1" applyFont="1" applyFill="1" applyBorder="1" applyAlignment="1">
      <alignment horizontal="center"/>
    </xf>
    <xf numFmtId="172" fontId="10" fillId="3" borderId="7" xfId="0" applyNumberFormat="1" applyFont="1" applyFill="1" applyBorder="1" applyAlignment="1">
      <alignment horizontal="right"/>
    </xf>
    <xf numFmtId="4" fontId="10" fillId="3" borderId="14" xfId="0" applyNumberFormat="1" applyFont="1" applyFill="1" applyBorder="1" applyAlignment="1">
      <alignment horizontal="center"/>
    </xf>
    <xf numFmtId="172" fontId="10" fillId="3" borderId="31" xfId="0" applyNumberFormat="1" applyFont="1" applyFill="1" applyBorder="1" applyAlignment="1">
      <alignment horizontal="right"/>
    </xf>
    <xf numFmtId="3" fontId="10" fillId="0" borderId="14" xfId="0" applyNumberFormat="1" applyFont="1" applyFill="1" applyBorder="1" applyAlignment="1">
      <alignment horizontal="center"/>
    </xf>
    <xf numFmtId="174" fontId="10" fillId="0" borderId="14" xfId="0" applyNumberFormat="1" applyFont="1" applyFill="1" applyBorder="1" applyAlignment="1">
      <alignment horizontal="right"/>
    </xf>
    <xf numFmtId="3" fontId="10" fillId="3" borderId="29" xfId="0" applyNumberFormat="1" applyFont="1" applyFill="1" applyBorder="1" applyAlignment="1">
      <alignment horizontal="center"/>
    </xf>
    <xf numFmtId="3" fontId="10" fillId="3" borderId="26" xfId="0" applyNumberFormat="1" applyFont="1" applyFill="1" applyBorder="1" applyAlignment="1">
      <alignment horizontal="center"/>
    </xf>
    <xf numFmtId="3" fontId="10" fillId="3" borderId="80" xfId="0" applyNumberFormat="1" applyFont="1" applyFill="1" applyBorder="1" applyAlignment="1">
      <alignment horizontal="left"/>
    </xf>
    <xf numFmtId="4" fontId="10" fillId="3" borderId="26" xfId="0" applyNumberFormat="1" applyFont="1" applyFill="1" applyBorder="1" applyAlignment="1"/>
    <xf numFmtId="4" fontId="10" fillId="3" borderId="26" xfId="0" applyNumberFormat="1" applyFont="1" applyFill="1" applyBorder="1" applyAlignment="1">
      <alignment horizontal="center"/>
    </xf>
    <xf numFmtId="4" fontId="10" fillId="3" borderId="14" xfId="15" applyNumberFormat="1" applyFont="1" applyFill="1" applyBorder="1" applyAlignment="1">
      <alignment horizontal="center" vertical="center" wrapText="1"/>
    </xf>
    <xf numFmtId="174" fontId="10" fillId="0" borderId="58"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xf>
    <xf numFmtId="3" fontId="10" fillId="0" borderId="83" xfId="0" applyNumberFormat="1" applyFont="1" applyFill="1" applyBorder="1" applyAlignment="1">
      <alignment horizontal="center" vertical="center"/>
    </xf>
    <xf numFmtId="172" fontId="10" fillId="0" borderId="14" xfId="0" applyNumberFormat="1" applyFont="1" applyFill="1" applyBorder="1" applyAlignment="1">
      <alignment horizontal="center"/>
    </xf>
    <xf numFmtId="4" fontId="20" fillId="11" borderId="35" xfId="15" applyNumberFormat="1" applyFont="1" applyFill="1" applyBorder="1" applyAlignment="1">
      <alignment horizontal="center" vertical="center"/>
    </xf>
    <xf numFmtId="0" fontId="21" fillId="0" borderId="101" xfId="0" applyFont="1" applyBorder="1" applyAlignment="1">
      <alignment horizontal="justify" vertical="center" wrapText="1"/>
    </xf>
    <xf numFmtId="3" fontId="10" fillId="0" borderId="29" xfId="0" applyNumberFormat="1" applyFont="1" applyFill="1" applyBorder="1" applyAlignment="1">
      <alignment horizontal="justify" vertical="center" wrapText="1"/>
    </xf>
    <xf numFmtId="3" fontId="10" fillId="0" borderId="27" xfId="0" applyNumberFormat="1" applyFont="1" applyFill="1" applyBorder="1" applyAlignment="1">
      <alignment horizontal="left" vertical="center"/>
    </xf>
    <xf numFmtId="3" fontId="10" fillId="0" borderId="29" xfId="0" applyNumberFormat="1" applyFont="1" applyFill="1" applyBorder="1" applyAlignment="1">
      <alignment horizontal="left"/>
    </xf>
    <xf numFmtId="3" fontId="10" fillId="0" borderId="0" xfId="0" applyNumberFormat="1" applyFont="1" applyFill="1" applyBorder="1" applyAlignment="1">
      <alignment horizontal="right" vertical="center"/>
    </xf>
    <xf numFmtId="3" fontId="10" fillId="3" borderId="14" xfId="0" applyNumberFormat="1" applyFont="1" applyFill="1" applyBorder="1" applyAlignment="1">
      <alignment horizontal="right" vertical="center"/>
    </xf>
    <xf numFmtId="0" fontId="10" fillId="0" borderId="29" xfId="0" applyFont="1" applyFill="1" applyBorder="1" applyAlignment="1">
      <alignment horizontal="left" vertical="center" wrapText="1"/>
    </xf>
    <xf numFmtId="0" fontId="10" fillId="0" borderId="27" xfId="0" applyFont="1" applyFill="1" applyBorder="1" applyAlignment="1">
      <alignment horizontal="left" vertical="center" wrapText="1"/>
    </xf>
    <xf numFmtId="4" fontId="10" fillId="0" borderId="33" xfId="26" applyNumberFormat="1" applyFont="1" applyFill="1" applyBorder="1" applyAlignment="1" applyProtection="1">
      <alignment horizontal="center" vertical="center"/>
    </xf>
    <xf numFmtId="4" fontId="10" fillId="0" borderId="33" xfId="0" applyNumberFormat="1" applyFont="1" applyFill="1" applyBorder="1" applyAlignment="1">
      <alignment horizontal="center" vertical="center" wrapText="1"/>
    </xf>
    <xf numFmtId="4" fontId="10" fillId="0" borderId="33" xfId="26" applyNumberFormat="1" applyFont="1" applyFill="1" applyBorder="1" applyAlignment="1" applyProtection="1">
      <alignment horizontal="center" vertical="center" wrapText="1"/>
    </xf>
    <xf numFmtId="0" fontId="10" fillId="0" borderId="29" xfId="0" applyFont="1" applyFill="1" applyBorder="1" applyAlignment="1">
      <alignment horizontal="left" vertical="center" wrapText="1"/>
    </xf>
    <xf numFmtId="3" fontId="10" fillId="0" borderId="0" xfId="0" applyNumberFormat="1" applyFont="1" applyFill="1" applyBorder="1" applyAlignment="1">
      <alignment horizontal="right" vertical="center"/>
    </xf>
    <xf numFmtId="3" fontId="10" fillId="0" borderId="14" xfId="15" applyFont="1" applyFill="1" applyBorder="1" applyAlignment="1">
      <alignment horizontal="right" vertical="center"/>
    </xf>
    <xf numFmtId="4" fontId="10" fillId="11" borderId="0" xfId="15" applyNumberFormat="1" applyFont="1" applyFill="1" applyBorder="1" applyAlignment="1">
      <alignment horizontal="right" vertical="center"/>
    </xf>
    <xf numFmtId="4" fontId="20" fillId="11" borderId="0" xfId="15" applyNumberFormat="1" applyFont="1" applyFill="1" applyBorder="1" applyAlignment="1">
      <alignment horizontal="right" vertical="center"/>
    </xf>
    <xf numFmtId="49" fontId="22" fillId="3" borderId="93" xfId="7" applyNumberFormat="1" applyFont="1" applyFill="1" applyBorder="1" applyAlignment="1">
      <alignment horizontal="center" vertical="center"/>
    </xf>
    <xf numFmtId="49" fontId="22" fillId="0" borderId="100" xfId="7" applyNumberFormat="1" applyFont="1" applyFill="1" applyBorder="1" applyAlignment="1">
      <alignment horizontal="center" vertical="center"/>
    </xf>
    <xf numFmtId="0" fontId="21" fillId="0" borderId="7" xfId="0" applyFont="1" applyBorder="1" applyAlignment="1">
      <alignment horizontal="justify" vertical="center" wrapText="1"/>
    </xf>
    <xf numFmtId="0" fontId="10" fillId="7" borderId="52" xfId="0" applyFont="1" applyFill="1" applyBorder="1" applyAlignment="1">
      <alignment horizontal="center" vertical="center"/>
    </xf>
    <xf numFmtId="2" fontId="10" fillId="7" borderId="52" xfId="28" applyNumberFormat="1" applyFont="1" applyFill="1" applyBorder="1" applyAlignment="1">
      <alignment horizontal="center" vertical="center"/>
    </xf>
    <xf numFmtId="4" fontId="22" fillId="3" borderId="134" xfId="7" applyNumberFormat="1" applyFont="1" applyFill="1" applyBorder="1" applyAlignment="1">
      <alignment horizontal="center" vertical="center"/>
    </xf>
    <xf numFmtId="49" fontId="22" fillId="0" borderId="135" xfId="7" applyNumberFormat="1" applyFont="1" applyFill="1" applyBorder="1" applyAlignment="1">
      <alignment horizontal="center" vertical="center"/>
    </xf>
    <xf numFmtId="0" fontId="10" fillId="7" borderId="67" xfId="0" applyFont="1" applyFill="1" applyBorder="1" applyAlignment="1">
      <alignment horizontal="center" vertical="center"/>
    </xf>
    <xf numFmtId="2" fontId="10" fillId="7" borderId="67" xfId="28" applyNumberFormat="1" applyFont="1" applyFill="1" applyBorder="1" applyAlignment="1">
      <alignment horizontal="center" vertical="center"/>
    </xf>
    <xf numFmtId="4" fontId="22" fillId="3" borderId="101" xfId="7" applyNumberFormat="1" applyFont="1" applyFill="1" applyBorder="1" applyAlignment="1">
      <alignment horizontal="center" vertical="center"/>
    </xf>
    <xf numFmtId="4" fontId="22" fillId="3" borderId="136" xfId="7" applyNumberFormat="1" applyFont="1" applyFill="1" applyBorder="1" applyAlignment="1">
      <alignment horizontal="center" vertical="center"/>
    </xf>
    <xf numFmtId="49" fontId="22" fillId="0" borderId="36" xfId="7" applyNumberFormat="1" applyFont="1" applyFill="1" applyBorder="1" applyAlignment="1">
      <alignment horizontal="center" vertical="center"/>
    </xf>
    <xf numFmtId="0" fontId="21" fillId="0" borderId="36" xfId="0" applyFont="1" applyBorder="1" applyAlignment="1">
      <alignment horizontal="justify" vertical="center" wrapText="1"/>
    </xf>
    <xf numFmtId="4" fontId="22" fillId="3" borderId="36" xfId="7" applyNumberFormat="1" applyFont="1" applyFill="1" applyBorder="1" applyAlignment="1">
      <alignment horizontal="center" vertical="center"/>
    </xf>
    <xf numFmtId="49" fontId="22" fillId="3" borderId="37" xfId="7" applyNumberFormat="1" applyFont="1" applyFill="1" applyBorder="1" applyAlignment="1">
      <alignment horizontal="center" vertical="center"/>
    </xf>
    <xf numFmtId="4" fontId="22" fillId="3" borderId="33" xfId="7" applyNumberFormat="1" applyFont="1" applyFill="1" applyBorder="1" applyAlignment="1">
      <alignment horizontal="center" vertical="center"/>
    </xf>
    <xf numFmtId="0" fontId="10" fillId="0" borderId="0" xfId="7" applyFont="1" applyFill="1" applyBorder="1" applyAlignment="1">
      <alignment horizontal="center" vertical="center" wrapText="1"/>
    </xf>
    <xf numFmtId="0" fontId="12" fillId="0" borderId="27" xfId="7" applyFont="1" applyFill="1" applyBorder="1" applyAlignment="1">
      <alignment horizontal="center" vertical="center"/>
    </xf>
    <xf numFmtId="0" fontId="12" fillId="0" borderId="14" xfId="7" applyFont="1" applyFill="1" applyBorder="1" applyAlignment="1">
      <alignment horizontal="center" vertical="center"/>
    </xf>
    <xf numFmtId="0" fontId="12" fillId="0" borderId="26" xfId="7" applyFont="1" applyFill="1" applyBorder="1" applyAlignment="1">
      <alignment horizontal="center" vertical="center"/>
    </xf>
    <xf numFmtId="0" fontId="12" fillId="3" borderId="14" xfId="7" applyFont="1" applyFill="1" applyBorder="1" applyAlignment="1">
      <alignment horizontal="center" vertical="center"/>
    </xf>
    <xf numFmtId="0" fontId="12" fillId="3" borderId="58" xfId="7" applyFont="1" applyFill="1" applyBorder="1" applyAlignment="1">
      <alignment horizontal="center" vertical="center"/>
    </xf>
    <xf numFmtId="0" fontId="12" fillId="6" borderId="90" xfId="7" applyFont="1" applyFill="1" applyBorder="1" applyAlignment="1">
      <alignment horizontal="left" vertical="center" wrapText="1"/>
    </xf>
    <xf numFmtId="0" fontId="12" fillId="6" borderId="91" xfId="7" applyFont="1" applyFill="1" applyBorder="1" applyAlignment="1">
      <alignment horizontal="left" vertical="center" wrapText="1"/>
    </xf>
    <xf numFmtId="0" fontId="12" fillId="6" borderId="92" xfId="7" applyFont="1" applyFill="1" applyBorder="1" applyAlignment="1">
      <alignment horizontal="left" vertical="center" wrapText="1"/>
    </xf>
    <xf numFmtId="0" fontId="10" fillId="0" borderId="16" xfId="7" applyFont="1" applyFill="1" applyBorder="1" applyAlignment="1">
      <alignment horizontal="center" vertical="center"/>
    </xf>
    <xf numFmtId="0" fontId="10" fillId="0" borderId="17" xfId="7" applyFont="1" applyFill="1" applyBorder="1" applyAlignment="1">
      <alignment horizontal="center" vertical="center"/>
    </xf>
    <xf numFmtId="0" fontId="10" fillId="0" borderId="18" xfId="7" applyFont="1" applyFill="1" applyBorder="1" applyAlignment="1">
      <alignment horizontal="center" vertical="center"/>
    </xf>
    <xf numFmtId="0" fontId="10" fillId="0" borderId="19" xfId="7" applyFont="1" applyFill="1" applyBorder="1" applyAlignment="1">
      <alignment horizontal="center" vertical="center"/>
    </xf>
    <xf numFmtId="0" fontId="10" fillId="0" borderId="0" xfId="7" applyFont="1" applyFill="1" applyBorder="1" applyAlignment="1">
      <alignment horizontal="center" vertical="center"/>
    </xf>
    <xf numFmtId="0" fontId="10" fillId="0" borderId="20" xfId="7" applyFont="1" applyFill="1" applyBorder="1" applyAlignment="1">
      <alignment horizontal="center" vertical="center"/>
    </xf>
    <xf numFmtId="0" fontId="10" fillId="0" borderId="21" xfId="7" applyFont="1" applyFill="1" applyBorder="1" applyAlignment="1">
      <alignment horizontal="center" vertical="center"/>
    </xf>
    <xf numFmtId="0" fontId="10" fillId="0" borderId="24" xfId="7" applyFont="1" applyFill="1" applyBorder="1" applyAlignment="1">
      <alignment horizontal="center" vertical="center"/>
    </xf>
    <xf numFmtId="0" fontId="10" fillId="0" borderId="22" xfId="7" applyFont="1" applyFill="1" applyBorder="1" applyAlignment="1">
      <alignment horizontal="center" vertical="center"/>
    </xf>
    <xf numFmtId="0" fontId="12" fillId="3" borderId="59" xfId="7" applyFont="1" applyFill="1" applyBorder="1" applyAlignment="1">
      <alignment horizontal="center" vertical="center"/>
    </xf>
    <xf numFmtId="0" fontId="12" fillId="3" borderId="93" xfId="7" applyFont="1" applyFill="1" applyBorder="1" applyAlignment="1">
      <alignment horizontal="center" vertical="center"/>
    </xf>
    <xf numFmtId="0" fontId="12" fillId="3" borderId="7" xfId="7" applyFont="1" applyFill="1" applyBorder="1" applyAlignment="1">
      <alignment horizontal="center" vertical="center"/>
    </xf>
    <xf numFmtId="0" fontId="12" fillId="3" borderId="58" xfId="7" applyFont="1" applyFill="1" applyBorder="1" applyAlignment="1">
      <alignment horizontal="center" vertical="center" wrapText="1"/>
    </xf>
    <xf numFmtId="0" fontId="12" fillId="3" borderId="7" xfId="7" applyFont="1" applyFill="1" applyBorder="1" applyAlignment="1">
      <alignment horizontal="center" vertical="center" wrapText="1"/>
    </xf>
    <xf numFmtId="4" fontId="24" fillId="3" borderId="75" xfId="0" applyNumberFormat="1" applyFont="1" applyFill="1" applyBorder="1" applyAlignment="1">
      <alignment horizontal="center" vertical="center"/>
    </xf>
    <xf numFmtId="4" fontId="24" fillId="3" borderId="91" xfId="0" applyNumberFormat="1" applyFont="1" applyFill="1" applyBorder="1" applyAlignment="1">
      <alignment horizontal="center" vertical="center"/>
    </xf>
    <xf numFmtId="4" fontId="24" fillId="3" borderId="76" xfId="0" applyNumberFormat="1" applyFont="1" applyFill="1" applyBorder="1" applyAlignment="1">
      <alignment horizontal="center" vertical="center"/>
    </xf>
    <xf numFmtId="0" fontId="9" fillId="0" borderId="0" xfId="7" applyFont="1" applyFill="1" applyBorder="1" applyAlignment="1">
      <alignment horizontal="left" vertical="center" wrapText="1"/>
    </xf>
    <xf numFmtId="0" fontId="26" fillId="5" borderId="90" xfId="0" applyFont="1" applyFill="1" applyBorder="1" applyAlignment="1">
      <alignment horizontal="left" vertical="center" wrapText="1"/>
    </xf>
    <xf numFmtId="0" fontId="26" fillId="5" borderId="91" xfId="0" applyFont="1" applyFill="1" applyBorder="1" applyAlignment="1">
      <alignment horizontal="left" vertical="center" wrapText="1"/>
    </xf>
    <xf numFmtId="0" fontId="26" fillId="5" borderId="92" xfId="0" applyFont="1" applyFill="1" applyBorder="1" applyAlignment="1">
      <alignment horizontal="left" vertical="center" wrapText="1"/>
    </xf>
    <xf numFmtId="2" fontId="12" fillId="3" borderId="14" xfId="20" applyNumberFormat="1" applyFont="1" applyFill="1" applyBorder="1" applyAlignment="1" applyProtection="1">
      <alignment horizontal="center" vertical="center"/>
      <protection locked="0"/>
    </xf>
    <xf numFmtId="2" fontId="12" fillId="3" borderId="58" xfId="20" applyNumberFormat="1" applyFont="1" applyFill="1" applyBorder="1" applyAlignment="1" applyProtection="1">
      <alignment horizontal="center" vertical="center"/>
      <protection locked="0"/>
    </xf>
    <xf numFmtId="4" fontId="12" fillId="3" borderId="14" xfId="20" applyNumberFormat="1" applyFont="1" applyFill="1" applyBorder="1" applyAlignment="1" applyProtection="1">
      <alignment horizontal="center" vertical="center"/>
    </xf>
    <xf numFmtId="4" fontId="12" fillId="3" borderId="26" xfId="20" applyNumberFormat="1" applyFont="1" applyFill="1" applyBorder="1" applyAlignment="1" applyProtection="1">
      <alignment horizontal="center" vertical="center"/>
    </xf>
    <xf numFmtId="171" fontId="12" fillId="3" borderId="59" xfId="5" applyFont="1" applyFill="1" applyBorder="1" applyAlignment="1" applyProtection="1">
      <alignment horizontal="center" vertical="center"/>
    </xf>
    <xf numFmtId="171" fontId="12" fillId="3" borderId="58" xfId="5" applyFont="1" applyFill="1" applyBorder="1" applyAlignment="1" applyProtection="1">
      <alignment horizontal="center" vertical="center"/>
    </xf>
    <xf numFmtId="171" fontId="12" fillId="3" borderId="74" xfId="5" applyFont="1" applyFill="1" applyBorder="1" applyAlignment="1" applyProtection="1">
      <alignment horizontal="center" vertical="center"/>
    </xf>
    <xf numFmtId="171" fontId="12" fillId="3" borderId="137" xfId="5" applyFont="1" applyFill="1" applyBorder="1" applyAlignment="1" applyProtection="1">
      <alignment horizontal="center" vertical="center"/>
    </xf>
    <xf numFmtId="171" fontId="12" fillId="3" borderId="138" xfId="5" applyFont="1" applyFill="1" applyBorder="1" applyAlignment="1" applyProtection="1">
      <alignment horizontal="center" vertical="center"/>
    </xf>
    <xf numFmtId="171" fontId="12" fillId="3" borderId="18" xfId="5" applyFont="1" applyFill="1" applyBorder="1" applyAlignment="1" applyProtection="1">
      <alignment horizontal="center" vertical="center"/>
    </xf>
    <xf numFmtId="49" fontId="25" fillId="5" borderId="97" xfId="7" applyNumberFormat="1" applyFont="1" applyFill="1" applyBorder="1" applyAlignment="1">
      <alignment horizontal="left" vertical="center"/>
    </xf>
    <xf numFmtId="49" fontId="25" fillId="5" borderId="91" xfId="7" applyNumberFormat="1" applyFont="1" applyFill="1" applyBorder="1" applyAlignment="1">
      <alignment horizontal="left" vertical="center"/>
    </xf>
    <xf numFmtId="49" fontId="25" fillId="5" borderId="66" xfId="7" applyNumberFormat="1" applyFont="1" applyFill="1" applyBorder="1" applyAlignment="1">
      <alignment horizontal="left" vertical="center"/>
    </xf>
    <xf numFmtId="0" fontId="12" fillId="6" borderId="75" xfId="0" applyFont="1" applyFill="1" applyBorder="1" applyAlignment="1">
      <alignment horizontal="center" vertical="center" wrapText="1"/>
    </xf>
    <xf numFmtId="0" fontId="12" fillId="6" borderId="91" xfId="0" applyFont="1" applyFill="1" applyBorder="1" applyAlignment="1">
      <alignment horizontal="center" vertical="center" wrapText="1"/>
    </xf>
    <xf numFmtId="0" fontId="10" fillId="0" borderId="0" xfId="7" applyFont="1" applyFill="1" applyBorder="1" applyAlignment="1">
      <alignment horizontal="left" vertical="center"/>
    </xf>
    <xf numFmtId="0" fontId="10" fillId="3" borderId="0" xfId="7" applyFont="1" applyFill="1" applyBorder="1" applyAlignment="1">
      <alignment horizontal="center" vertical="center" wrapText="1"/>
    </xf>
    <xf numFmtId="0" fontId="10" fillId="0" borderId="0" xfId="7" applyFont="1" applyFill="1" applyBorder="1" applyAlignment="1">
      <alignment horizontal="left" vertical="center" wrapText="1"/>
    </xf>
    <xf numFmtId="0" fontId="10" fillId="0" borderId="0" xfId="7" applyFont="1" applyFill="1" applyBorder="1" applyAlignment="1">
      <alignment horizontal="center" vertical="center" wrapText="1"/>
    </xf>
    <xf numFmtId="3" fontId="10" fillId="0" borderId="27" xfId="15" applyFont="1" applyFill="1" applyBorder="1" applyAlignment="1">
      <alignment horizontal="right" vertical="center"/>
    </xf>
    <xf numFmtId="3" fontId="10" fillId="0" borderId="14" xfId="15" applyFont="1" applyFill="1" applyBorder="1" applyAlignment="1">
      <alignment horizontal="right" vertical="center"/>
    </xf>
    <xf numFmtId="3" fontId="12" fillId="0" borderId="29" xfId="15" applyFont="1" applyFill="1" applyBorder="1" applyAlignment="1">
      <alignment horizontal="center" vertical="center"/>
    </xf>
    <xf numFmtId="3" fontId="12" fillId="0" borderId="89" xfId="15" applyFont="1" applyFill="1" applyBorder="1" applyAlignment="1">
      <alignment horizontal="center" vertical="center"/>
    </xf>
    <xf numFmtId="3" fontId="12" fillId="0" borderId="28" xfId="15" applyFont="1" applyFill="1" applyBorder="1" applyAlignment="1">
      <alignment horizontal="center" vertical="center"/>
    </xf>
    <xf numFmtId="0" fontId="10" fillId="0" borderId="27" xfId="0" applyFont="1" applyFill="1" applyBorder="1" applyAlignment="1">
      <alignment horizontal="right" vertical="center"/>
    </xf>
    <xf numFmtId="0" fontId="10" fillId="0" borderId="14" xfId="0" applyFont="1" applyFill="1" applyBorder="1" applyAlignment="1">
      <alignment horizontal="right" vertical="center"/>
    </xf>
    <xf numFmtId="0" fontId="12" fillId="0" borderId="29" xfId="0" applyFont="1" applyFill="1" applyBorder="1" applyAlignment="1">
      <alignment horizontal="center" vertical="center"/>
    </xf>
    <xf numFmtId="0" fontId="12" fillId="0" borderId="89" xfId="0" applyFont="1" applyFill="1" applyBorder="1" applyAlignment="1">
      <alignment horizontal="center" vertical="center"/>
    </xf>
    <xf numFmtId="0" fontId="12" fillId="0" borderId="28" xfId="0" applyFont="1" applyFill="1" applyBorder="1" applyAlignment="1">
      <alignment horizontal="center" vertical="center"/>
    </xf>
    <xf numFmtId="3" fontId="10" fillId="3" borderId="27" xfId="0" applyNumberFormat="1" applyFont="1" applyFill="1" applyBorder="1" applyAlignment="1">
      <alignment horizontal="right" vertical="center"/>
    </xf>
    <xf numFmtId="3" fontId="10" fillId="3" borderId="14" xfId="0" applyNumberFormat="1" applyFont="1" applyFill="1" applyBorder="1" applyAlignment="1">
      <alignment horizontal="right" vertical="center"/>
    </xf>
    <xf numFmtId="3" fontId="9" fillId="0" borderId="80" xfId="0" applyNumberFormat="1" applyFont="1" applyFill="1" applyBorder="1" applyAlignment="1">
      <alignment horizontal="center" vertical="center"/>
    </xf>
    <xf numFmtId="3" fontId="9" fillId="0" borderId="103" xfId="0" applyNumberFormat="1" applyFont="1" applyFill="1" applyBorder="1" applyAlignment="1">
      <alignment horizontal="center" vertical="center"/>
    </xf>
    <xf numFmtId="3" fontId="9" fillId="0" borderId="88" xfId="0" applyNumberFormat="1" applyFont="1" applyFill="1" applyBorder="1" applyAlignment="1">
      <alignment horizontal="center" vertical="center"/>
    </xf>
    <xf numFmtId="0" fontId="10" fillId="3" borderId="100" xfId="0" applyFont="1" applyFill="1" applyBorder="1" applyAlignment="1">
      <alignment horizontal="center" vertical="center"/>
    </xf>
    <xf numFmtId="0" fontId="10" fillId="3" borderId="34" xfId="0" applyFont="1" applyFill="1" applyBorder="1" applyAlignment="1">
      <alignment horizontal="center" vertical="center"/>
    </xf>
    <xf numFmtId="0" fontId="10" fillId="3" borderId="15" xfId="0" applyFont="1" applyFill="1" applyBorder="1" applyAlignment="1">
      <alignment horizontal="center" vertical="center"/>
    </xf>
    <xf numFmtId="2" fontId="9" fillId="0" borderId="73" xfId="15" applyNumberFormat="1" applyFont="1" applyFill="1" applyBorder="1" applyAlignment="1">
      <alignment horizontal="left" vertical="center"/>
    </xf>
    <xf numFmtId="2" fontId="9" fillId="0" borderId="101" xfId="15" applyNumberFormat="1" applyFont="1" applyFill="1" applyBorder="1" applyAlignment="1">
      <alignment horizontal="left" vertical="center"/>
    </xf>
    <xf numFmtId="0" fontId="10" fillId="0" borderId="93" xfId="0" applyFont="1" applyFill="1" applyBorder="1" applyAlignment="1">
      <alignment horizontal="right" vertical="center"/>
    </xf>
    <xf numFmtId="0" fontId="10" fillId="0" borderId="7" xfId="0" applyFont="1" applyFill="1" applyBorder="1" applyAlignment="1">
      <alignment horizontal="right" vertical="center"/>
    </xf>
    <xf numFmtId="0" fontId="10" fillId="0" borderId="29" xfId="0" applyFont="1" applyFill="1" applyBorder="1" applyAlignment="1">
      <alignment horizontal="left" vertical="center" wrapText="1"/>
    </xf>
    <xf numFmtId="0" fontId="10" fillId="0" borderId="89" xfId="0" applyFont="1" applyFill="1" applyBorder="1" applyAlignment="1">
      <alignment horizontal="left" vertical="center" wrapText="1"/>
    </xf>
    <xf numFmtId="0" fontId="12" fillId="0" borderId="32" xfId="0" applyFont="1" applyFill="1" applyBorder="1" applyAlignment="1">
      <alignment horizontal="center" vertical="center"/>
    </xf>
    <xf numFmtId="3" fontId="17" fillId="8" borderId="75" xfId="15" applyFont="1" applyFill="1" applyBorder="1" applyAlignment="1">
      <alignment horizontal="center" vertical="center"/>
    </xf>
    <xf numFmtId="3" fontId="17" fillId="8" borderId="91" xfId="15" applyFont="1" applyFill="1" applyBorder="1" applyAlignment="1">
      <alignment horizontal="center" vertical="center"/>
    </xf>
    <xf numFmtId="3" fontId="17" fillId="8" borderId="76" xfId="15" applyFont="1" applyFill="1" applyBorder="1" applyAlignment="1">
      <alignment horizontal="center" vertical="center"/>
    </xf>
    <xf numFmtId="3" fontId="10" fillId="0" borderId="98" xfId="15" applyFont="1" applyFill="1" applyBorder="1" applyAlignment="1">
      <alignment horizontal="left" vertical="center"/>
    </xf>
    <xf numFmtId="3" fontId="10" fillId="0" borderId="32" xfId="15" applyFont="1" applyFill="1" applyBorder="1" applyAlignment="1">
      <alignment horizontal="left" vertical="center"/>
    </xf>
    <xf numFmtId="3" fontId="10" fillId="0" borderId="99" xfId="15" applyFont="1" applyFill="1" applyBorder="1" applyAlignment="1">
      <alignment horizontal="left" vertical="center"/>
    </xf>
    <xf numFmtId="0" fontId="10" fillId="0" borderId="78" xfId="0" applyFont="1" applyFill="1" applyBorder="1" applyAlignment="1">
      <alignment horizontal="left" vertical="center" wrapText="1"/>
    </xf>
    <xf numFmtId="2" fontId="10" fillId="0" borderId="59" xfId="0" applyNumberFormat="1" applyFont="1" applyFill="1" applyBorder="1" applyAlignment="1">
      <alignment horizontal="left" vertical="center"/>
    </xf>
    <xf numFmtId="2" fontId="10" fillId="0" borderId="58" xfId="0" applyNumberFormat="1" applyFont="1" applyFill="1" applyBorder="1" applyAlignment="1">
      <alignment horizontal="left" vertical="center"/>
    </xf>
    <xf numFmtId="0" fontId="10" fillId="0" borderId="45" xfId="0" applyFont="1" applyFill="1" applyBorder="1" applyAlignment="1">
      <alignment horizontal="right" vertical="center"/>
    </xf>
    <xf numFmtId="0" fontId="10" fillId="0" borderId="31" xfId="0" applyFont="1" applyFill="1" applyBorder="1" applyAlignment="1">
      <alignment horizontal="right" vertical="center"/>
    </xf>
    <xf numFmtId="2" fontId="10" fillId="0" borderId="14" xfId="0" applyNumberFormat="1" applyFont="1" applyFill="1" applyBorder="1" applyAlignment="1">
      <alignment horizontal="left" vertical="center"/>
    </xf>
    <xf numFmtId="0" fontId="12" fillId="0" borderId="34" xfId="0" applyFont="1" applyFill="1" applyBorder="1" applyAlignment="1">
      <alignment horizontal="center" vertical="center"/>
    </xf>
    <xf numFmtId="3" fontId="12" fillId="8" borderId="102" xfId="0" applyNumberFormat="1" applyFont="1" applyFill="1" applyBorder="1" applyAlignment="1">
      <alignment horizontal="center" vertical="center" wrapText="1"/>
    </xf>
    <xf numFmtId="3" fontId="12" fillId="8" borderId="81" xfId="0" applyNumberFormat="1" applyFont="1" applyFill="1" applyBorder="1" applyAlignment="1">
      <alignment horizontal="center" vertical="center" wrapText="1"/>
    </xf>
    <xf numFmtId="0" fontId="10" fillId="0" borderId="29" xfId="0" applyFont="1" applyFill="1" applyBorder="1" applyAlignment="1">
      <alignment horizontal="right" vertical="center"/>
    </xf>
    <xf numFmtId="0" fontId="10" fillId="0" borderId="89" xfId="0" applyFont="1" applyFill="1" applyBorder="1" applyAlignment="1">
      <alignment horizontal="right" vertical="center"/>
    </xf>
    <xf numFmtId="0" fontId="10" fillId="0" borderId="78" xfId="0" applyFont="1" applyFill="1" applyBorder="1" applyAlignment="1">
      <alignment horizontal="right" vertical="center"/>
    </xf>
    <xf numFmtId="2" fontId="9" fillId="0" borderId="104" xfId="0" applyNumberFormat="1" applyFont="1" applyFill="1" applyBorder="1" applyAlignment="1">
      <alignment horizontal="left" vertical="center"/>
    </xf>
    <xf numFmtId="2" fontId="9" fillId="0" borderId="101" xfId="0" applyNumberFormat="1" applyFont="1" applyFill="1" applyBorder="1" applyAlignment="1">
      <alignment horizontal="left" vertical="center"/>
    </xf>
    <xf numFmtId="2" fontId="9" fillId="0" borderId="82" xfId="0" applyNumberFormat="1" applyFont="1" applyFill="1" applyBorder="1" applyAlignment="1">
      <alignment horizontal="left" vertical="center"/>
    </xf>
    <xf numFmtId="3" fontId="10" fillId="0" borderId="29" xfId="0" applyNumberFormat="1" applyFont="1" applyFill="1" applyBorder="1" applyAlignment="1">
      <alignment horizontal="right" vertical="center"/>
    </xf>
    <xf numFmtId="3" fontId="10" fillId="0" borderId="89" xfId="0" applyNumberFormat="1" applyFont="1" applyFill="1" applyBorder="1" applyAlignment="1">
      <alignment horizontal="right" vertical="center"/>
    </xf>
    <xf numFmtId="3" fontId="10" fillId="0" borderId="78" xfId="0" applyNumberFormat="1" applyFont="1" applyFill="1" applyBorder="1" applyAlignment="1">
      <alignment horizontal="right" vertical="center"/>
    </xf>
    <xf numFmtId="2" fontId="10" fillId="0" borderId="105" xfId="0" applyNumberFormat="1" applyFont="1" applyFill="1" applyBorder="1" applyAlignment="1">
      <alignment horizontal="left" vertical="center"/>
    </xf>
    <xf numFmtId="2" fontId="10" fillId="0" borderId="89" xfId="0" applyNumberFormat="1" applyFont="1" applyFill="1" applyBorder="1" applyAlignment="1">
      <alignment horizontal="left" vertical="center"/>
    </xf>
    <xf numFmtId="2" fontId="10" fillId="0" borderId="78" xfId="0" applyNumberFormat="1" applyFont="1" applyFill="1" applyBorder="1" applyAlignment="1">
      <alignment horizontal="left" vertical="center"/>
    </xf>
    <xf numFmtId="3" fontId="9" fillId="0" borderId="27" xfId="0" applyNumberFormat="1" applyFont="1" applyFill="1" applyBorder="1" applyAlignment="1">
      <alignment horizontal="center" vertical="center"/>
    </xf>
    <xf numFmtId="3" fontId="9" fillId="0" borderId="14" xfId="0" applyNumberFormat="1" applyFont="1" applyFill="1" applyBorder="1" applyAlignment="1">
      <alignment horizontal="center" vertical="center"/>
    </xf>
    <xf numFmtId="3" fontId="9" fillId="0" borderId="26" xfId="0" applyNumberFormat="1" applyFont="1" applyFill="1" applyBorder="1" applyAlignment="1">
      <alignment horizontal="center" vertical="center"/>
    </xf>
    <xf numFmtId="3" fontId="10" fillId="0" borderId="27" xfId="0" applyNumberFormat="1" applyFont="1" applyFill="1" applyBorder="1" applyAlignment="1">
      <alignment horizontal="right" vertical="center"/>
    </xf>
    <xf numFmtId="3" fontId="10" fillId="0" borderId="14" xfId="0" applyNumberFormat="1" applyFont="1" applyFill="1" applyBorder="1" applyAlignment="1">
      <alignment horizontal="right" vertical="center"/>
    </xf>
    <xf numFmtId="2" fontId="10" fillId="0" borderId="27" xfId="0" applyNumberFormat="1" applyFont="1" applyFill="1" applyBorder="1" applyAlignment="1">
      <alignment horizontal="left" vertical="center"/>
    </xf>
    <xf numFmtId="0" fontId="10" fillId="0" borderId="27"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13" xfId="0" applyFont="1" applyFill="1" applyBorder="1" applyAlignment="1">
      <alignment horizontal="left" vertical="center" wrapText="1"/>
    </xf>
    <xf numFmtId="3" fontId="9" fillId="0" borderId="27" xfId="0" applyNumberFormat="1" applyFont="1" applyFill="1" applyBorder="1" applyAlignment="1">
      <alignment horizontal="center"/>
    </xf>
    <xf numFmtId="3" fontId="9" fillId="0" borderId="14" xfId="0" applyNumberFormat="1" applyFont="1" applyFill="1" applyBorder="1" applyAlignment="1">
      <alignment horizontal="center"/>
    </xf>
    <xf numFmtId="3" fontId="9" fillId="0" borderId="26" xfId="0" applyNumberFormat="1" applyFont="1" applyFill="1" applyBorder="1" applyAlignment="1">
      <alignment horizontal="center"/>
    </xf>
    <xf numFmtId="3" fontId="9" fillId="0" borderId="0" xfId="0" applyNumberFormat="1" applyFont="1" applyFill="1" applyBorder="1" applyAlignment="1">
      <alignment horizontal="center"/>
    </xf>
    <xf numFmtId="2" fontId="10" fillId="0" borderId="0" xfId="0" applyNumberFormat="1" applyFont="1" applyFill="1" applyBorder="1" applyAlignment="1">
      <alignment horizontal="left" vertical="center"/>
    </xf>
    <xf numFmtId="3" fontId="10" fillId="0" borderId="0" xfId="0" applyNumberFormat="1" applyFont="1" applyFill="1" applyBorder="1" applyAlignment="1">
      <alignment horizontal="left" vertical="center" wrapText="1"/>
    </xf>
    <xf numFmtId="3" fontId="9" fillId="0" borderId="0" xfId="0" applyNumberFormat="1" applyFont="1" applyFill="1" applyBorder="1" applyAlignment="1">
      <alignment horizontal="center" vertical="center"/>
    </xf>
    <xf numFmtId="3" fontId="10" fillId="0" borderId="0" xfId="0" applyNumberFormat="1" applyFont="1" applyFill="1" applyBorder="1" applyAlignment="1">
      <alignment horizontal="right" vertical="center"/>
    </xf>
    <xf numFmtId="3" fontId="10" fillId="0" borderId="29" xfId="15" applyFont="1" applyFill="1" applyBorder="1" applyAlignment="1">
      <alignment horizontal="left" vertical="center" wrapText="1"/>
    </xf>
    <xf numFmtId="3" fontId="10" fillId="0" borderId="89" xfId="15" applyFont="1" applyFill="1" applyBorder="1" applyAlignment="1">
      <alignment horizontal="left" vertical="center" wrapText="1"/>
    </xf>
    <xf numFmtId="3" fontId="12" fillId="0" borderId="32" xfId="15" applyFont="1" applyFill="1" applyBorder="1" applyAlignment="1">
      <alignment horizontal="center" vertical="center"/>
    </xf>
    <xf numFmtId="2" fontId="9" fillId="0" borderId="0" xfId="0" applyNumberFormat="1" applyFont="1" applyFill="1" applyBorder="1" applyAlignment="1">
      <alignment horizontal="left" vertical="center"/>
    </xf>
    <xf numFmtId="3" fontId="9" fillId="4" borderId="0" xfId="0" applyNumberFormat="1" applyFont="1" applyFill="1" applyBorder="1" applyAlignment="1">
      <alignment horizontal="center" vertical="center" wrapText="1"/>
    </xf>
    <xf numFmtId="3" fontId="10" fillId="0" borderId="0" xfId="0" applyNumberFormat="1" applyFont="1" applyFill="1" applyBorder="1" applyAlignment="1">
      <alignment horizontal="left" vertical="top" wrapText="1"/>
    </xf>
    <xf numFmtId="2" fontId="9" fillId="3" borderId="73" xfId="15" applyNumberFormat="1" applyFont="1" applyFill="1" applyBorder="1" applyAlignment="1">
      <alignment horizontal="left" vertical="center"/>
    </xf>
    <xf numFmtId="2" fontId="9" fillId="3" borderId="101" xfId="15" applyNumberFormat="1" applyFont="1" applyFill="1" applyBorder="1" applyAlignment="1">
      <alignment horizontal="left" vertical="center"/>
    </xf>
    <xf numFmtId="3" fontId="9" fillId="0" borderId="27" xfId="15" applyFont="1" applyFill="1" applyBorder="1" applyAlignment="1">
      <alignment horizontal="right" vertical="center"/>
    </xf>
    <xf numFmtId="3" fontId="9" fillId="0" borderId="14" xfId="15" applyFont="1" applyFill="1" applyBorder="1" applyAlignment="1">
      <alignment horizontal="right" vertical="center"/>
    </xf>
    <xf numFmtId="0" fontId="10" fillId="0" borderId="106" xfId="0" applyFont="1" applyFill="1" applyBorder="1" applyAlignment="1">
      <alignment horizontal="right" vertical="center"/>
    </xf>
    <xf numFmtId="0" fontId="10" fillId="0" borderId="107" xfId="0" applyFont="1" applyFill="1" applyBorder="1" applyAlignment="1">
      <alignment horizontal="right" vertical="center"/>
    </xf>
    <xf numFmtId="0" fontId="10" fillId="0" borderId="108" xfId="0" applyFont="1" applyFill="1" applyBorder="1" applyAlignment="1">
      <alignment horizontal="right" vertical="center"/>
    </xf>
    <xf numFmtId="0" fontId="10" fillId="0" borderId="13" xfId="0" applyFont="1" applyFill="1" applyBorder="1" applyAlignment="1">
      <alignment horizontal="right" vertical="center"/>
    </xf>
    <xf numFmtId="2" fontId="10" fillId="0" borderId="29" xfId="0" applyNumberFormat="1" applyFont="1" applyFill="1" applyBorder="1" applyAlignment="1">
      <alignment horizontal="left" vertical="center"/>
    </xf>
    <xf numFmtId="2" fontId="10" fillId="0" borderId="13" xfId="0" applyNumberFormat="1" applyFont="1" applyFill="1" applyBorder="1" applyAlignment="1">
      <alignment horizontal="left" vertical="center"/>
    </xf>
    <xf numFmtId="3" fontId="10" fillId="0" borderId="29" xfId="15" applyFont="1" applyFill="1" applyBorder="1" applyAlignment="1">
      <alignment horizontal="right" vertical="center"/>
    </xf>
    <xf numFmtId="3" fontId="10" fillId="0" borderId="89" xfId="15" applyFont="1" applyFill="1" applyBorder="1" applyAlignment="1">
      <alignment horizontal="right" vertical="center"/>
    </xf>
    <xf numFmtId="3" fontId="10" fillId="0" borderId="78" xfId="15" applyFont="1" applyFill="1" applyBorder="1" applyAlignment="1">
      <alignment horizontal="right" vertical="center"/>
    </xf>
    <xf numFmtId="3" fontId="10" fillId="0" borderId="78" xfId="15" applyFont="1" applyFill="1" applyBorder="1" applyAlignment="1">
      <alignment horizontal="left" vertical="center" wrapText="1"/>
    </xf>
    <xf numFmtId="3" fontId="12" fillId="0" borderId="88" xfId="15" applyFont="1" applyFill="1" applyBorder="1" applyAlignment="1">
      <alignment horizontal="center" vertical="center"/>
    </xf>
    <xf numFmtId="4" fontId="9" fillId="0" borderId="27" xfId="0" applyNumberFormat="1" applyFont="1" applyFill="1" applyBorder="1" applyAlignment="1">
      <alignment horizontal="right" vertical="center"/>
    </xf>
    <xf numFmtId="4" fontId="9" fillId="0" borderId="14" xfId="0" applyNumberFormat="1" applyFont="1" applyFill="1" applyBorder="1" applyAlignment="1">
      <alignment horizontal="right" vertical="center"/>
    </xf>
    <xf numFmtId="2" fontId="9" fillId="0" borderId="109" xfId="15" applyNumberFormat="1" applyFont="1" applyFill="1" applyBorder="1" applyAlignment="1">
      <alignment horizontal="left" vertical="center"/>
    </xf>
    <xf numFmtId="2" fontId="9" fillId="0" borderId="110" xfId="15" applyNumberFormat="1" applyFont="1" applyFill="1" applyBorder="1" applyAlignment="1">
      <alignment horizontal="left" vertical="center"/>
    </xf>
    <xf numFmtId="2" fontId="9" fillId="0" borderId="111" xfId="15" applyNumberFormat="1" applyFont="1" applyFill="1" applyBorder="1" applyAlignment="1">
      <alignment horizontal="left" vertical="center"/>
    </xf>
    <xf numFmtId="4" fontId="12" fillId="0" borderId="29" xfId="0" applyNumberFormat="1" applyFont="1" applyFill="1" applyBorder="1" applyAlignment="1">
      <alignment horizontal="center" vertical="center"/>
    </xf>
    <xf numFmtId="4" fontId="12" fillId="0" borderId="89" xfId="0" applyNumberFormat="1" applyFont="1" applyFill="1" applyBorder="1" applyAlignment="1">
      <alignment horizontal="center" vertical="center"/>
    </xf>
    <xf numFmtId="4" fontId="12" fillId="0" borderId="28" xfId="0" applyNumberFormat="1" applyFont="1" applyFill="1" applyBorder="1" applyAlignment="1">
      <alignment horizontal="center" vertical="center"/>
    </xf>
    <xf numFmtId="4" fontId="10" fillId="0" borderId="29" xfId="0" applyNumberFormat="1" applyFont="1" applyFill="1" applyBorder="1" applyAlignment="1">
      <alignment horizontal="left" vertical="center"/>
    </xf>
    <xf numFmtId="4" fontId="10" fillId="0" borderId="89" xfId="0" applyNumberFormat="1" applyFont="1" applyFill="1" applyBorder="1" applyAlignment="1">
      <alignment horizontal="left" vertical="center"/>
    </xf>
    <xf numFmtId="4" fontId="10" fillId="0" borderId="78" xfId="0" applyNumberFormat="1" applyFont="1" applyFill="1" applyBorder="1" applyAlignment="1">
      <alignment horizontal="left" vertical="center"/>
    </xf>
    <xf numFmtId="3" fontId="9" fillId="0" borderId="93" xfId="15" applyFont="1" applyFill="1" applyBorder="1" applyAlignment="1">
      <alignment horizontal="right" vertical="center"/>
    </xf>
    <xf numFmtId="3" fontId="9" fillId="0" borderId="7" xfId="15" applyFont="1" applyFill="1" applyBorder="1" applyAlignment="1">
      <alignment horizontal="right" vertical="center"/>
    </xf>
    <xf numFmtId="3" fontId="10" fillId="0" borderId="93" xfId="0" applyNumberFormat="1" applyFont="1" applyFill="1" applyBorder="1" applyAlignment="1">
      <alignment horizontal="right" vertical="center"/>
    </xf>
    <xf numFmtId="3" fontId="10" fillId="0" borderId="7" xfId="0" applyNumberFormat="1" applyFont="1" applyFill="1" applyBorder="1" applyAlignment="1">
      <alignment horizontal="right" vertical="center"/>
    </xf>
    <xf numFmtId="3" fontId="9" fillId="0" borderId="31" xfId="0" applyNumberFormat="1" applyFont="1" applyFill="1" applyBorder="1" applyAlignment="1">
      <alignment horizontal="center" vertical="center"/>
    </xf>
    <xf numFmtId="3" fontId="10" fillId="0" borderId="29" xfId="0" applyNumberFormat="1" applyFont="1" applyFill="1" applyBorder="1" applyAlignment="1">
      <alignment horizontal="left" vertical="center" wrapText="1"/>
    </xf>
    <xf numFmtId="3" fontId="10" fillId="0" borderId="89" xfId="0" applyNumberFormat="1" applyFont="1" applyFill="1" applyBorder="1" applyAlignment="1">
      <alignment horizontal="left" vertical="center" wrapText="1"/>
    </xf>
    <xf numFmtId="3" fontId="9" fillId="4" borderId="102" xfId="0" applyNumberFormat="1" applyFont="1" applyFill="1" applyBorder="1" applyAlignment="1">
      <alignment horizontal="center" vertical="center" wrapText="1"/>
    </xf>
    <xf numFmtId="3" fontId="9" fillId="4" borderId="81" xfId="0" applyNumberFormat="1" applyFont="1" applyFill="1" applyBorder="1" applyAlignment="1">
      <alignment horizontal="center" vertical="center" wrapText="1"/>
    </xf>
    <xf numFmtId="3" fontId="9" fillId="0" borderId="29" xfId="0" applyNumberFormat="1" applyFont="1" applyFill="1" applyBorder="1" applyAlignment="1">
      <alignment horizontal="center" vertical="center"/>
    </xf>
    <xf numFmtId="3" fontId="9" fillId="0" borderId="89" xfId="0" applyNumberFormat="1" applyFont="1" applyFill="1" applyBorder="1" applyAlignment="1">
      <alignment horizontal="center" vertical="center"/>
    </xf>
    <xf numFmtId="3" fontId="9" fillId="0" borderId="32" xfId="0" applyNumberFormat="1" applyFont="1" applyFill="1" applyBorder="1" applyAlignment="1">
      <alignment horizontal="center" vertical="center"/>
    </xf>
    <xf numFmtId="3" fontId="9" fillId="0" borderId="28" xfId="0" applyNumberFormat="1" applyFont="1" applyFill="1" applyBorder="1" applyAlignment="1">
      <alignment horizontal="center" vertical="center"/>
    </xf>
    <xf numFmtId="3" fontId="10" fillId="3" borderId="31" xfId="0" applyNumberFormat="1" applyFont="1" applyFill="1" applyBorder="1" applyAlignment="1">
      <alignment horizontal="right" vertical="center"/>
    </xf>
    <xf numFmtId="3" fontId="10" fillId="3" borderId="93" xfId="0" applyNumberFormat="1" applyFont="1" applyFill="1" applyBorder="1" applyAlignment="1">
      <alignment horizontal="right" vertical="center"/>
    </xf>
    <xf numFmtId="3" fontId="10" fillId="3" borderId="7" xfId="0" applyNumberFormat="1" applyFont="1" applyFill="1" applyBorder="1" applyAlignment="1">
      <alignment horizontal="right" vertical="center"/>
    </xf>
    <xf numFmtId="3" fontId="10" fillId="3" borderId="29" xfId="0" applyNumberFormat="1" applyFont="1" applyFill="1" applyBorder="1" applyAlignment="1">
      <alignment horizontal="left" vertical="center" wrapText="1"/>
    </xf>
    <xf numFmtId="3" fontId="10" fillId="3" borderId="89" xfId="0" applyNumberFormat="1" applyFont="1" applyFill="1" applyBorder="1" applyAlignment="1">
      <alignment horizontal="left" vertical="center" wrapText="1"/>
    </xf>
    <xf numFmtId="3" fontId="9" fillId="0" borderId="29" xfId="0" applyNumberFormat="1" applyFont="1" applyFill="1" applyBorder="1" applyAlignment="1">
      <alignment horizontal="center"/>
    </xf>
    <xf numFmtId="3" fontId="9" fillId="0" borderId="89" xfId="0" applyNumberFormat="1" applyFont="1" applyFill="1" applyBorder="1" applyAlignment="1">
      <alignment horizontal="center"/>
    </xf>
    <xf numFmtId="3" fontId="9" fillId="0" borderId="28" xfId="0" applyNumberFormat="1" applyFont="1" applyFill="1" applyBorder="1" applyAlignment="1">
      <alignment horizontal="center"/>
    </xf>
    <xf numFmtId="3" fontId="10" fillId="3" borderId="29" xfId="0" applyNumberFormat="1" applyFont="1" applyFill="1" applyBorder="1" applyAlignment="1">
      <alignment horizontal="right" vertical="center"/>
    </xf>
    <xf numFmtId="3" fontId="10" fillId="3" borderId="89" xfId="0" applyNumberFormat="1" applyFont="1" applyFill="1" applyBorder="1" applyAlignment="1">
      <alignment horizontal="right" vertical="center"/>
    </xf>
    <xf numFmtId="3" fontId="10" fillId="3" borderId="78" xfId="0" applyNumberFormat="1" applyFont="1" applyFill="1" applyBorder="1" applyAlignment="1">
      <alignment horizontal="right" vertical="center"/>
    </xf>
    <xf numFmtId="0" fontId="12" fillId="0" borderId="29" xfId="0" applyNumberFormat="1" applyFont="1" applyFill="1" applyBorder="1" applyAlignment="1">
      <alignment horizontal="center" vertical="center"/>
    </xf>
    <xf numFmtId="0" fontId="12" fillId="0" borderId="89" xfId="0" applyNumberFormat="1" applyFont="1" applyFill="1" applyBorder="1" applyAlignment="1">
      <alignment horizontal="center" vertical="center"/>
    </xf>
    <xf numFmtId="0" fontId="12" fillId="0" borderId="28" xfId="0" applyNumberFormat="1" applyFont="1" applyFill="1" applyBorder="1" applyAlignment="1">
      <alignment horizontal="center" vertical="center"/>
    </xf>
    <xf numFmtId="2" fontId="9" fillId="0" borderId="21" xfId="0" applyNumberFormat="1" applyFont="1" applyFill="1" applyBorder="1" applyAlignment="1">
      <alignment horizontal="left" vertical="center"/>
    </xf>
    <xf numFmtId="2" fontId="9" fillId="0" borderId="24" xfId="0" applyNumberFormat="1" applyFont="1" applyFill="1" applyBorder="1" applyAlignment="1">
      <alignment horizontal="left" vertical="center"/>
    </xf>
    <xf numFmtId="2" fontId="9" fillId="0" borderId="133" xfId="0" applyNumberFormat="1" applyFont="1" applyFill="1" applyBorder="1" applyAlignment="1">
      <alignment horizontal="left" vertical="center"/>
    </xf>
    <xf numFmtId="0" fontId="12" fillId="0" borderId="98" xfId="0" applyNumberFormat="1" applyFont="1" applyFill="1" applyBorder="1" applyAlignment="1">
      <alignment horizontal="center" vertical="center"/>
    </xf>
    <xf numFmtId="0" fontId="12" fillId="0" borderId="32" xfId="0" applyNumberFormat="1" applyFont="1" applyFill="1" applyBorder="1" applyAlignment="1">
      <alignment horizontal="center" vertical="center"/>
    </xf>
    <xf numFmtId="0" fontId="12" fillId="0" borderId="34" xfId="0" applyNumberFormat="1" applyFont="1" applyFill="1" applyBorder="1" applyAlignment="1">
      <alignment horizontal="center" vertical="center"/>
    </xf>
    <xf numFmtId="3" fontId="10" fillId="0" borderId="45" xfId="0" applyNumberFormat="1" applyFont="1" applyFill="1" applyBorder="1" applyAlignment="1">
      <alignment horizontal="right" vertical="center"/>
    </xf>
    <xf numFmtId="3" fontId="10" fillId="0" borderId="31" xfId="0" applyNumberFormat="1" applyFont="1" applyFill="1" applyBorder="1" applyAlignment="1">
      <alignment horizontal="right" vertical="center"/>
    </xf>
    <xf numFmtId="4" fontId="10" fillId="0" borderId="0" xfId="0" applyNumberFormat="1" applyFont="1" applyFill="1" applyAlignment="1">
      <alignment horizontal="center" vertical="center" wrapText="1"/>
    </xf>
    <xf numFmtId="4" fontId="9" fillId="0" borderId="37" xfId="0" applyNumberFormat="1" applyFont="1" applyFill="1" applyBorder="1" applyAlignment="1">
      <alignment horizontal="left" vertical="center" wrapText="1"/>
    </xf>
    <xf numFmtId="4" fontId="9" fillId="0" borderId="36" xfId="0" applyNumberFormat="1" applyFont="1" applyFill="1" applyBorder="1" applyAlignment="1">
      <alignment horizontal="left" vertical="center" wrapText="1"/>
    </xf>
    <xf numFmtId="4" fontId="9" fillId="0" borderId="33" xfId="0" applyNumberFormat="1" applyFont="1" applyFill="1" applyBorder="1" applyAlignment="1">
      <alignment horizontal="left" vertical="center" wrapText="1"/>
    </xf>
    <xf numFmtId="4" fontId="9" fillId="0" borderId="112" xfId="0" applyNumberFormat="1" applyFont="1" applyFill="1" applyBorder="1" applyAlignment="1">
      <alignment horizontal="left" vertical="center" wrapText="1"/>
    </xf>
    <xf numFmtId="4" fontId="9" fillId="0" borderId="54" xfId="0" applyNumberFormat="1" applyFont="1" applyFill="1" applyBorder="1" applyAlignment="1">
      <alignment horizontal="left" vertical="center" wrapText="1"/>
    </xf>
    <xf numFmtId="4" fontId="9" fillId="0" borderId="113" xfId="0" applyNumberFormat="1" applyFont="1" applyFill="1" applyBorder="1" applyAlignment="1">
      <alignment horizontal="left" vertical="center" wrapText="1"/>
    </xf>
    <xf numFmtId="4" fontId="9" fillId="0" borderId="37" xfId="0" applyNumberFormat="1" applyFont="1" applyBorder="1" applyAlignment="1">
      <alignment horizontal="center" vertical="center" wrapText="1"/>
    </xf>
    <xf numFmtId="4" fontId="9" fillId="0" borderId="36" xfId="0" applyNumberFormat="1" applyFont="1" applyBorder="1" applyAlignment="1">
      <alignment horizontal="center" vertical="center" wrapText="1"/>
    </xf>
    <xf numFmtId="4" fontId="9" fillId="0" borderId="33" xfId="0" applyNumberFormat="1" applyFont="1" applyBorder="1" applyAlignment="1">
      <alignment horizontal="center" vertical="center" wrapText="1"/>
    </xf>
    <xf numFmtId="4" fontId="9" fillId="0" borderId="79" xfId="0" applyNumberFormat="1" applyFont="1" applyBorder="1" applyAlignment="1">
      <alignment horizontal="center" vertical="center" wrapText="1"/>
    </xf>
    <xf numFmtId="4" fontId="9" fillId="0" borderId="56" xfId="0" applyNumberFormat="1" applyFont="1" applyBorder="1" applyAlignment="1">
      <alignment horizontal="center" vertical="center" wrapText="1"/>
    </xf>
    <xf numFmtId="4" fontId="9" fillId="0" borderId="57" xfId="0" applyNumberFormat="1" applyFont="1" applyBorder="1" applyAlignment="1">
      <alignment horizontal="center" vertical="center" wrapText="1"/>
    </xf>
    <xf numFmtId="10" fontId="16" fillId="9" borderId="36" xfId="16" applyNumberFormat="1" applyFill="1" applyBorder="1" applyAlignment="1">
      <alignment horizontal="center" vertical="center"/>
    </xf>
    <xf numFmtId="10" fontId="16" fillId="9" borderId="33" xfId="16" applyNumberFormat="1" applyFill="1" applyBorder="1" applyAlignment="1">
      <alignment horizontal="center" vertical="center"/>
    </xf>
    <xf numFmtId="4" fontId="9" fillId="9" borderId="37" xfId="0" applyNumberFormat="1" applyFont="1" applyFill="1" applyBorder="1" applyAlignment="1">
      <alignment horizontal="left" vertical="center"/>
    </xf>
    <xf numFmtId="4" fontId="9" fillId="9" borderId="36" xfId="0" applyNumberFormat="1" applyFont="1" applyFill="1" applyBorder="1" applyAlignment="1">
      <alignment horizontal="left" vertical="center"/>
    </xf>
    <xf numFmtId="4" fontId="9" fillId="0" borderId="112" xfId="0" applyNumberFormat="1" applyFont="1" applyBorder="1" applyAlignment="1">
      <alignment horizontal="center" wrapText="1"/>
    </xf>
    <xf numFmtId="4" fontId="9" fillId="0" borderId="54" xfId="0" applyNumberFormat="1" applyFont="1" applyBorder="1" applyAlignment="1">
      <alignment horizontal="center" wrapText="1"/>
    </xf>
    <xf numFmtId="4" fontId="9" fillId="0" borderId="113" xfId="0" applyNumberFormat="1" applyFont="1" applyBorder="1" applyAlignment="1">
      <alignment horizontal="center" wrapText="1"/>
    </xf>
    <xf numFmtId="4" fontId="9" fillId="9" borderId="37" xfId="0" applyNumberFormat="1" applyFont="1" applyFill="1" applyBorder="1" applyAlignment="1">
      <alignment horizontal="left" vertical="center" wrapText="1"/>
    </xf>
    <xf numFmtId="4" fontId="9" fillId="9" borderId="36" xfId="0" applyNumberFormat="1" applyFont="1" applyFill="1" applyBorder="1" applyAlignment="1">
      <alignment horizontal="left" vertical="center" wrapText="1"/>
    </xf>
    <xf numFmtId="4" fontId="16" fillId="9" borderId="132" xfId="28" applyNumberFormat="1" applyFont="1" applyFill="1" applyBorder="1" applyAlignment="1" applyProtection="1">
      <alignment horizontal="center" vertical="center"/>
    </xf>
    <xf numFmtId="4" fontId="16" fillId="9" borderId="46" xfId="28" applyNumberFormat="1" applyFont="1" applyFill="1" applyBorder="1" applyAlignment="1" applyProtection="1">
      <alignment horizontal="center" vertical="center"/>
    </xf>
    <xf numFmtId="4" fontId="16" fillId="9" borderId="63" xfId="28" applyNumberFormat="1" applyFont="1" applyFill="1" applyBorder="1" applyAlignment="1" applyProtection="1">
      <alignment horizontal="center" vertical="center"/>
    </xf>
    <xf numFmtId="10" fontId="16" fillId="9" borderId="132" xfId="16" applyNumberFormat="1" applyFill="1" applyBorder="1" applyAlignment="1">
      <alignment horizontal="center" vertical="center"/>
    </xf>
    <xf numFmtId="10" fontId="16" fillId="9" borderId="46" xfId="16" applyNumberFormat="1" applyFill="1" applyBorder="1" applyAlignment="1">
      <alignment horizontal="center" vertical="center"/>
    </xf>
    <xf numFmtId="10" fontId="16" fillId="9" borderId="63" xfId="16" applyNumberFormat="1" applyFill="1" applyBorder="1" applyAlignment="1">
      <alignment horizontal="center" vertical="center"/>
    </xf>
    <xf numFmtId="0" fontId="0" fillId="0" borderId="0" xfId="6" applyFont="1" applyBorder="1" applyAlignment="1"/>
    <xf numFmtId="0" fontId="16" fillId="0" borderId="14" xfId="6" applyBorder="1" applyAlignment="1">
      <alignment horizontal="center"/>
    </xf>
    <xf numFmtId="0" fontId="4" fillId="0" borderId="14" xfId="6" applyFont="1" applyBorder="1" applyAlignment="1">
      <alignment horizontal="center"/>
    </xf>
    <xf numFmtId="0" fontId="5" fillId="0" borderId="14" xfId="6" applyFont="1" applyBorder="1" applyAlignment="1">
      <alignment horizontal="left" vertical="center" wrapText="1"/>
    </xf>
    <xf numFmtId="0" fontId="6" fillId="2" borderId="10" xfId="6" applyFont="1" applyFill="1" applyBorder="1" applyAlignment="1">
      <alignment horizontal="center" vertical="center"/>
    </xf>
    <xf numFmtId="0" fontId="6" fillId="2" borderId="11" xfId="6" applyFont="1" applyFill="1" applyBorder="1" applyAlignment="1">
      <alignment horizontal="center" vertical="center"/>
    </xf>
    <xf numFmtId="0" fontId="6" fillId="0" borderId="0" xfId="6" applyFont="1" applyBorder="1" applyAlignment="1">
      <alignment horizontal="right"/>
    </xf>
    <xf numFmtId="0" fontId="34" fillId="0" borderId="48" xfId="0" applyFont="1" applyBorder="1" applyAlignment="1">
      <alignment horizontal="left" vertical="center"/>
    </xf>
    <xf numFmtId="0" fontId="34" fillId="0" borderId="114" xfId="0" applyFont="1" applyBorder="1" applyAlignment="1">
      <alignment horizontal="left" vertical="center"/>
    </xf>
    <xf numFmtId="0" fontId="34" fillId="0" borderId="68" xfId="0" applyFont="1" applyBorder="1" applyAlignment="1">
      <alignment horizontal="left" vertical="center"/>
    </xf>
    <xf numFmtId="0" fontId="34" fillId="0" borderId="46" xfId="0" applyFont="1" applyBorder="1" applyAlignment="1">
      <alignment horizontal="left" vertical="center"/>
    </xf>
    <xf numFmtId="0" fontId="35" fillId="0" borderId="75" xfId="0" applyFont="1" applyBorder="1" applyAlignment="1">
      <alignment horizontal="left" vertical="center"/>
    </xf>
    <xf numFmtId="0" fontId="35" fillId="0" borderId="91" xfId="0" applyFont="1" applyBorder="1" applyAlignment="1">
      <alignment horizontal="left" vertical="center"/>
    </xf>
    <xf numFmtId="0" fontId="35" fillId="0" borderId="66" xfId="0" applyFont="1" applyBorder="1" applyAlignment="1">
      <alignment horizontal="left" vertical="center"/>
    </xf>
    <xf numFmtId="0" fontId="34" fillId="0" borderId="117" xfId="0" applyFont="1" applyBorder="1" applyAlignment="1">
      <alignment horizontal="left"/>
    </xf>
    <xf numFmtId="0" fontId="34" fillId="0" borderId="118" xfId="0" applyFont="1" applyBorder="1"/>
    <xf numFmtId="0" fontId="34" fillId="0" borderId="119" xfId="0" applyFont="1" applyBorder="1"/>
    <xf numFmtId="0" fontId="34" fillId="0" borderId="68" xfId="0" applyFont="1" applyBorder="1" applyAlignment="1">
      <alignment horizontal="left"/>
    </xf>
    <xf numFmtId="0" fontId="34" fillId="0" borderId="46" xfId="0" applyFont="1" applyBorder="1"/>
    <xf numFmtId="0" fontId="34" fillId="0" borderId="55" xfId="0" applyFont="1" applyBorder="1"/>
    <xf numFmtId="0" fontId="35" fillId="0" borderId="75" xfId="0" applyFont="1" applyBorder="1" applyAlignment="1">
      <alignment horizontal="left"/>
    </xf>
    <xf numFmtId="0" fontId="35" fillId="0" borderId="91" xfId="0" applyFont="1" applyBorder="1" applyAlignment="1">
      <alignment horizontal="left"/>
    </xf>
    <xf numFmtId="0" fontId="34" fillId="0" borderId="37" xfId="0" applyFont="1" applyBorder="1" applyAlignment="1">
      <alignment horizontal="left" vertical="center"/>
    </xf>
    <xf numFmtId="0" fontId="34" fillId="0" borderId="36" xfId="0" applyFont="1" applyBorder="1" applyAlignment="1">
      <alignment horizontal="left" vertical="center"/>
    </xf>
    <xf numFmtId="0" fontId="0" fillId="0" borderId="0" xfId="0" applyBorder="1" applyAlignment="1">
      <alignment horizontal="left"/>
    </xf>
    <xf numFmtId="0" fontId="0" fillId="0" borderId="0" xfId="0" applyBorder="1"/>
    <xf numFmtId="0" fontId="34" fillId="0" borderId="46" xfId="0" applyFont="1" applyBorder="1" applyAlignment="1">
      <alignment horizontal="left"/>
    </xf>
    <xf numFmtId="0" fontId="34" fillId="0" borderId="55" xfId="0" applyFont="1" applyBorder="1" applyAlignment="1">
      <alignment horizontal="left"/>
    </xf>
    <xf numFmtId="0" fontId="0" fillId="0" borderId="0" xfId="0" applyBorder="1" applyAlignment="1">
      <alignment horizontal="left" wrapText="1"/>
    </xf>
    <xf numFmtId="0" fontId="0" fillId="0" borderId="0" xfId="0" applyBorder="1" applyAlignment="1">
      <alignment wrapText="1"/>
    </xf>
    <xf numFmtId="0" fontId="34" fillId="0" borderId="47" xfId="0" applyFont="1" applyFill="1" applyBorder="1" applyAlignment="1">
      <alignment horizontal="left"/>
    </xf>
    <xf numFmtId="0" fontId="34" fillId="0" borderId="123" xfId="0" applyFont="1" applyFill="1" applyBorder="1"/>
    <xf numFmtId="0" fontId="34" fillId="0" borderId="124" xfId="0" applyFont="1" applyFill="1" applyBorder="1"/>
    <xf numFmtId="0" fontId="35" fillId="0" borderId="21" xfId="0" applyFont="1" applyFill="1" applyBorder="1" applyAlignment="1">
      <alignment horizontal="left" vertical="center"/>
    </xf>
    <xf numFmtId="0" fontId="35" fillId="0" borderId="24" xfId="0" applyFont="1" applyFill="1" applyBorder="1" applyAlignment="1">
      <alignment horizontal="left" vertical="center"/>
    </xf>
    <xf numFmtId="0" fontId="35" fillId="0" borderId="125" xfId="0" applyFont="1" applyFill="1" applyBorder="1" applyAlignment="1">
      <alignment horizontal="left" vertical="center"/>
    </xf>
    <xf numFmtId="0" fontId="35" fillId="0" borderId="75" xfId="0" applyFont="1" applyFill="1" applyBorder="1" applyAlignment="1">
      <alignment horizontal="left" vertical="center"/>
    </xf>
    <xf numFmtId="0" fontId="35" fillId="0" borderId="91" xfId="0" applyFont="1" applyFill="1" applyBorder="1" applyAlignment="1">
      <alignment horizontal="left" vertical="center"/>
    </xf>
    <xf numFmtId="0" fontId="35" fillId="0" borderId="66" xfId="0" applyFont="1" applyFill="1" applyBorder="1" applyAlignment="1">
      <alignment horizontal="left" vertical="center"/>
    </xf>
    <xf numFmtId="0" fontId="33" fillId="0" borderId="75" xfId="0" applyFont="1" applyFill="1" applyBorder="1" applyAlignment="1">
      <alignment horizontal="left" vertical="center"/>
    </xf>
    <xf numFmtId="0" fontId="33" fillId="0" borderId="91" xfId="0" applyFont="1" applyFill="1" applyBorder="1" applyAlignment="1">
      <alignment horizontal="left" vertical="center"/>
    </xf>
    <xf numFmtId="0" fontId="34" fillId="0" borderId="68" xfId="0" applyFont="1" applyFill="1" applyBorder="1" applyAlignment="1">
      <alignment horizontal="left"/>
    </xf>
    <xf numFmtId="0" fontId="34" fillId="0" borderId="46" xfId="0" applyFont="1" applyFill="1" applyBorder="1" applyAlignment="1">
      <alignment horizontal="left"/>
    </xf>
    <xf numFmtId="0" fontId="34" fillId="0" borderId="55" xfId="0" applyFont="1" applyFill="1" applyBorder="1" applyAlignment="1">
      <alignment horizontal="left"/>
    </xf>
    <xf numFmtId="0" fontId="34" fillId="0" borderId="120" xfId="0" applyFont="1" applyBorder="1" applyAlignment="1">
      <alignment horizontal="left"/>
    </xf>
    <xf numFmtId="0" fontId="34" fillId="0" borderId="116" xfId="0" applyFont="1" applyBorder="1" applyAlignment="1">
      <alignment horizontal="left"/>
    </xf>
    <xf numFmtId="0" fontId="34" fillId="0" borderId="121" xfId="0" applyFont="1" applyBorder="1" applyAlignment="1">
      <alignment horizontal="left"/>
    </xf>
    <xf numFmtId="4" fontId="37" fillId="0" borderId="16" xfId="0" applyNumberFormat="1" applyFont="1" applyBorder="1" applyAlignment="1">
      <alignment horizontal="left" vertical="center" wrapText="1"/>
    </xf>
    <xf numFmtId="4" fontId="37" fillId="0" borderId="17" xfId="0" applyNumberFormat="1" applyFont="1" applyBorder="1" applyAlignment="1">
      <alignment horizontal="left" vertical="center" wrapText="1"/>
    </xf>
    <xf numFmtId="4" fontId="37" fillId="0" borderId="18" xfId="0" applyNumberFormat="1" applyFont="1" applyBorder="1" applyAlignment="1">
      <alignment horizontal="left" vertical="center" wrapText="1"/>
    </xf>
    <xf numFmtId="4" fontId="37" fillId="0" borderId="21" xfId="0" applyNumberFormat="1" applyFont="1" applyBorder="1" applyAlignment="1">
      <alignment horizontal="left" vertical="center" wrapText="1"/>
    </xf>
    <xf numFmtId="4" fontId="37" fillId="0" borderId="24" xfId="0" applyNumberFormat="1" applyFont="1" applyBorder="1" applyAlignment="1">
      <alignment horizontal="left" vertical="center" wrapText="1"/>
    </xf>
    <xf numFmtId="4" fontId="37" fillId="0" borderId="22" xfId="0" applyNumberFormat="1" applyFont="1" applyBorder="1" applyAlignment="1">
      <alignment horizontal="left" vertical="center" wrapText="1"/>
    </xf>
    <xf numFmtId="0" fontId="0" fillId="0" borderId="75" xfId="0" applyBorder="1" applyAlignment="1">
      <alignment horizontal="left" vertical="distributed" wrapText="1"/>
    </xf>
    <xf numFmtId="0" fontId="0" fillId="0" borderId="91" xfId="0" applyBorder="1" applyAlignment="1">
      <alignment horizontal="left" vertical="distributed" wrapText="1"/>
    </xf>
    <xf numFmtId="0" fontId="0" fillId="0" borderId="76" xfId="0" applyBorder="1" applyAlignment="1">
      <alignment horizontal="left" vertical="distributed" wrapText="1"/>
    </xf>
    <xf numFmtId="0" fontId="16" fillId="0" borderId="75" xfId="0" applyFont="1" applyBorder="1" applyAlignment="1">
      <alignment horizontal="center" vertical="distributed" wrapText="1"/>
    </xf>
    <xf numFmtId="0" fontId="16" fillId="0" borderId="76" xfId="0" applyFont="1" applyBorder="1" applyAlignment="1">
      <alignment horizontal="center" vertical="distributed" wrapText="1"/>
    </xf>
    <xf numFmtId="0" fontId="0" fillId="0" borderId="75" xfId="0" applyFill="1" applyBorder="1" applyAlignment="1">
      <alignment horizontal="left" vertical="distributed" wrapText="1"/>
    </xf>
    <xf numFmtId="0" fontId="16" fillId="0" borderId="91" xfId="0" applyFont="1" applyFill="1" applyBorder="1" applyAlignment="1">
      <alignment horizontal="left" vertical="distributed" wrapText="1"/>
    </xf>
    <xf numFmtId="0" fontId="16" fillId="0" borderId="76" xfId="0" applyFont="1" applyFill="1" applyBorder="1" applyAlignment="1">
      <alignment horizontal="left" vertical="distributed" wrapText="1"/>
    </xf>
    <xf numFmtId="0" fontId="0" fillId="0" borderId="122" xfId="0" applyFill="1" applyBorder="1" applyAlignment="1">
      <alignment horizontal="center" vertical="distributed" wrapText="1"/>
    </xf>
    <xf numFmtId="0" fontId="0" fillId="0" borderId="22" xfId="0" applyFont="1" applyFill="1" applyBorder="1" applyAlignment="1">
      <alignment horizontal="center" vertical="distributed" wrapText="1"/>
    </xf>
    <xf numFmtId="0" fontId="31" fillId="0" borderId="16" xfId="0" applyFont="1" applyBorder="1" applyAlignment="1">
      <alignment horizontal="center"/>
    </xf>
    <xf numFmtId="0" fontId="31" fillId="0" borderId="17" xfId="0" applyFont="1" applyBorder="1" applyAlignment="1">
      <alignment horizontal="center"/>
    </xf>
    <xf numFmtId="0" fontId="31" fillId="0" borderId="18" xfId="0" applyFont="1" applyBorder="1" applyAlignment="1">
      <alignment horizontal="center"/>
    </xf>
    <xf numFmtId="4" fontId="13" fillId="0" borderId="16" xfId="0" applyNumberFormat="1" applyFont="1" applyBorder="1" applyAlignment="1">
      <alignment horizontal="center" wrapText="1"/>
    </xf>
    <xf numFmtId="4" fontId="13" fillId="0" borderId="17" xfId="0" applyNumberFormat="1" applyFont="1" applyBorder="1" applyAlignment="1">
      <alignment horizontal="center" wrapText="1"/>
    </xf>
    <xf numFmtId="4" fontId="13" fillId="0" borderId="18" xfId="0" applyNumberFormat="1" applyFont="1" applyBorder="1" applyAlignment="1">
      <alignment horizontal="center" wrapText="1"/>
    </xf>
    <xf numFmtId="4" fontId="13" fillId="0" borderId="21" xfId="0" applyNumberFormat="1" applyFont="1" applyBorder="1" applyAlignment="1">
      <alignment horizontal="center" wrapText="1"/>
    </xf>
    <xf numFmtId="4" fontId="13" fillId="0" borderId="24" xfId="0" applyNumberFormat="1" applyFont="1" applyBorder="1" applyAlignment="1">
      <alignment horizontal="center" wrapText="1"/>
    </xf>
    <xf numFmtId="4" fontId="13" fillId="0" borderId="22" xfId="0" applyNumberFormat="1" applyFont="1" applyBorder="1" applyAlignment="1">
      <alignment horizontal="center" wrapText="1"/>
    </xf>
    <xf numFmtId="0" fontId="33" fillId="0" borderId="75" xfId="0" applyFont="1" applyBorder="1" applyAlignment="1">
      <alignment horizontal="left" vertical="center"/>
    </xf>
    <xf numFmtId="0" fontId="33" fillId="0" borderId="91" xfId="0" applyFont="1" applyBorder="1" applyAlignment="1">
      <alignment horizontal="left" vertical="center"/>
    </xf>
    <xf numFmtId="0" fontId="33" fillId="0" borderId="66" xfId="0" applyFont="1" applyBorder="1" applyAlignment="1">
      <alignment horizontal="left" vertical="center"/>
    </xf>
    <xf numFmtId="0" fontId="33" fillId="0" borderId="75" xfId="0" applyFont="1" applyBorder="1" applyAlignment="1">
      <alignment horizontal="center" vertical="center"/>
    </xf>
    <xf numFmtId="0" fontId="33" fillId="0" borderId="91" xfId="0" applyFont="1" applyBorder="1" applyAlignment="1">
      <alignment horizontal="center" vertical="center"/>
    </xf>
    <xf numFmtId="0" fontId="33" fillId="0" borderId="76" xfId="0" applyFont="1" applyBorder="1" applyAlignment="1">
      <alignment horizontal="center" vertical="center"/>
    </xf>
    <xf numFmtId="0" fontId="0" fillId="0" borderId="19" xfId="0" applyBorder="1" applyAlignment="1">
      <alignment horizontal="center"/>
    </xf>
    <xf numFmtId="0" fontId="0" fillId="0" borderId="0" xfId="0" applyBorder="1" applyAlignment="1">
      <alignment horizontal="center"/>
    </xf>
    <xf numFmtId="0" fontId="0" fillId="0" borderId="20" xfId="0" applyBorder="1" applyAlignment="1">
      <alignment horizontal="center"/>
    </xf>
    <xf numFmtId="0" fontId="33" fillId="0" borderId="66" xfId="0" applyFont="1" applyFill="1" applyBorder="1" applyAlignment="1">
      <alignment horizontal="left" vertical="center"/>
    </xf>
    <xf numFmtId="0" fontId="29" fillId="0" borderId="75" xfId="7" applyFont="1" applyBorder="1" applyAlignment="1">
      <alignment horizontal="center" vertical="center"/>
    </xf>
    <xf numFmtId="0" fontId="29" fillId="0" borderId="91" xfId="7" applyFont="1" applyBorder="1" applyAlignment="1">
      <alignment horizontal="center" vertical="center"/>
    </xf>
    <xf numFmtId="0" fontId="29" fillId="0" borderId="76" xfId="7" applyFont="1" applyBorder="1" applyAlignment="1">
      <alignment horizontal="center" vertical="center"/>
    </xf>
    <xf numFmtId="0" fontId="34" fillId="0" borderId="75" xfId="0" applyFont="1" applyBorder="1" applyAlignment="1">
      <alignment horizontal="center"/>
    </xf>
    <xf numFmtId="0" fontId="34" fillId="0" borderId="91" xfId="0" applyFont="1" applyBorder="1" applyAlignment="1">
      <alignment horizontal="center"/>
    </xf>
    <xf numFmtId="0" fontId="34" fillId="0" borderId="76" xfId="0" applyFont="1" applyBorder="1" applyAlignment="1">
      <alignment horizontal="center"/>
    </xf>
    <xf numFmtId="0" fontId="32" fillId="0" borderId="75" xfId="0" applyFont="1" applyBorder="1" applyAlignment="1">
      <alignment horizontal="left"/>
    </xf>
    <xf numFmtId="0" fontId="32" fillId="0" borderId="91" xfId="0" applyFont="1" applyBorder="1" applyAlignment="1">
      <alignment horizontal="left"/>
    </xf>
    <xf numFmtId="0" fontId="32" fillId="0" borderId="66" xfId="0" applyFont="1" applyBorder="1" applyAlignment="1">
      <alignment horizontal="left"/>
    </xf>
    <xf numFmtId="0" fontId="34" fillId="0" borderId="117" xfId="0" applyFont="1" applyFill="1" applyBorder="1" applyAlignment="1">
      <alignment horizontal="left"/>
    </xf>
    <xf numFmtId="0" fontId="34" fillId="0" borderId="118" xfId="0" applyFont="1" applyFill="1" applyBorder="1"/>
    <xf numFmtId="0" fontId="34" fillId="0" borderId="119" xfId="0" applyFont="1" applyFill="1" applyBorder="1"/>
    <xf numFmtId="0" fontId="35" fillId="0" borderId="75" xfId="0" applyFont="1" applyFill="1" applyBorder="1" applyAlignment="1">
      <alignment horizontal="left"/>
    </xf>
    <xf numFmtId="0" fontId="35" fillId="0" borderId="91" xfId="0" applyFont="1" applyFill="1" applyBorder="1" applyAlignment="1">
      <alignment horizontal="left"/>
    </xf>
    <xf numFmtId="0" fontId="34" fillId="0" borderId="116" xfId="0" applyFont="1" applyBorder="1"/>
    <xf numFmtId="0" fontId="34" fillId="0" borderId="121" xfId="0" applyFont="1" applyBorder="1"/>
    <xf numFmtId="0" fontId="34" fillId="0" borderId="46" xfId="0" applyFont="1" applyFill="1" applyBorder="1"/>
    <xf numFmtId="0" fontId="34" fillId="0" borderId="55" xfId="0" applyFont="1" applyFill="1" applyBorder="1"/>
    <xf numFmtId="0" fontId="34" fillId="0" borderId="48" xfId="0" applyFont="1" applyFill="1" applyBorder="1" applyAlignment="1">
      <alignment horizontal="left" wrapText="1"/>
    </xf>
    <xf numFmtId="0" fontId="34" fillId="0" borderId="114" xfId="0" applyFont="1" applyFill="1" applyBorder="1" applyAlignment="1">
      <alignment wrapText="1"/>
    </xf>
    <xf numFmtId="0" fontId="34" fillId="0" borderId="115" xfId="0" applyFont="1" applyFill="1" applyBorder="1" applyAlignment="1">
      <alignment wrapText="1"/>
    </xf>
    <xf numFmtId="0" fontId="34" fillId="0" borderId="68" xfId="0" applyFont="1" applyBorder="1" applyAlignment="1">
      <alignment horizontal="center"/>
    </xf>
    <xf numFmtId="0" fontId="34" fillId="0" borderId="46" xfId="0" applyFont="1" applyBorder="1" applyAlignment="1">
      <alignment horizontal="center"/>
    </xf>
    <xf numFmtId="0" fontId="34" fillId="0" borderId="116" xfId="0" applyFont="1" applyBorder="1" applyAlignment="1">
      <alignment horizontal="center"/>
    </xf>
    <xf numFmtId="0" fontId="34" fillId="0" borderId="63" xfId="0" applyFont="1" applyBorder="1" applyAlignment="1">
      <alignment horizontal="center"/>
    </xf>
    <xf numFmtId="0" fontId="0" fillId="0" borderId="0" xfId="0" applyBorder="1" applyAlignment="1"/>
    <xf numFmtId="0" fontId="6" fillId="0" borderId="0" xfId="0" applyFont="1" applyBorder="1" applyAlignment="1">
      <alignment horizontal="center"/>
    </xf>
    <xf numFmtId="0" fontId="6" fillId="0" borderId="24" xfId="0" applyFont="1" applyBorder="1" applyAlignment="1">
      <alignment horizontal="center"/>
    </xf>
    <xf numFmtId="0" fontId="0" fillId="0" borderId="24" xfId="0" applyBorder="1" applyAlignment="1"/>
    <xf numFmtId="0" fontId="12" fillId="10" borderId="126" xfId="3" applyFont="1" applyFill="1" applyBorder="1" applyAlignment="1">
      <alignment horizontal="center" vertical="center"/>
    </xf>
    <xf numFmtId="0" fontId="12" fillId="10" borderId="127" xfId="3" applyFont="1" applyFill="1" applyBorder="1" applyAlignment="1">
      <alignment horizontal="center" vertical="center"/>
    </xf>
    <xf numFmtId="0" fontId="12" fillId="10" borderId="128" xfId="3" applyFont="1" applyFill="1" applyBorder="1" applyAlignment="1">
      <alignment horizontal="center" vertical="center"/>
    </xf>
    <xf numFmtId="0" fontId="12" fillId="12" borderId="129" xfId="7" applyFont="1" applyFill="1" applyBorder="1" applyAlignment="1">
      <alignment horizontal="center" vertical="center"/>
    </xf>
    <xf numFmtId="0" fontId="12" fillId="12" borderId="130" xfId="7" applyFont="1" applyFill="1" applyBorder="1" applyAlignment="1">
      <alignment horizontal="center" vertical="center"/>
    </xf>
    <xf numFmtId="0" fontId="12" fillId="12" borderId="131" xfId="7" applyFont="1" applyFill="1" applyBorder="1" applyAlignment="1">
      <alignment horizontal="center" vertical="center"/>
    </xf>
    <xf numFmtId="0" fontId="9" fillId="0" borderId="94" xfId="7" applyFont="1" applyFill="1" applyBorder="1" applyAlignment="1">
      <alignment horizontal="center" vertical="center" wrapText="1"/>
    </xf>
    <xf numFmtId="0" fontId="9" fillId="0" borderId="95" xfId="7" applyFont="1" applyFill="1" applyBorder="1" applyAlignment="1">
      <alignment horizontal="center" vertical="center" wrapText="1"/>
    </xf>
    <xf numFmtId="0" fontId="9" fillId="0" borderId="96" xfId="7" applyFont="1" applyFill="1" applyBorder="1" applyAlignment="1">
      <alignment horizontal="center" vertical="center" wrapText="1"/>
    </xf>
  </cellXfs>
  <cellStyles count="29">
    <cellStyle name="Comma 2" xfId="1"/>
    <cellStyle name="Euro" xfId="2"/>
    <cellStyle name="Excel Built-in Normal" xfId="3"/>
    <cellStyle name="Indefinido" xfId="4"/>
    <cellStyle name="Moeda" xfId="5" builtinId="4"/>
    <cellStyle name="Normal" xfId="0" builtinId="0"/>
    <cellStyle name="Normal 2" xfId="6"/>
    <cellStyle name="Normal 2 2" xfId="7"/>
    <cellStyle name="Normal 2_Material" xfId="8"/>
    <cellStyle name="Normal 3" xfId="9"/>
    <cellStyle name="Normal 3 2" xfId="10"/>
    <cellStyle name="Normal 3_Material" xfId="11"/>
    <cellStyle name="Normal 4" xfId="12"/>
    <cellStyle name="Normal 5" xfId="13"/>
    <cellStyle name="Normal 6" xfId="14"/>
    <cellStyle name="Normal_Estrutura_de_preço_-_CODEVASF_versão8" xfId="15"/>
    <cellStyle name="Porcentagem" xfId="16" builtinId="5"/>
    <cellStyle name="Porcentagem 2" xfId="17"/>
    <cellStyle name="Separador de milhares" xfId="28" builtinId="3"/>
    <cellStyle name="Separador de milhares [0] 2" xfId="18"/>
    <cellStyle name="Separador de milhares [0] 3" xfId="19"/>
    <cellStyle name="Separador de milhares 2" xfId="20"/>
    <cellStyle name="Separador de milhares 2 2" xfId="21"/>
    <cellStyle name="Separador de milhares 3" xfId="22"/>
    <cellStyle name="Separador de milhares 3 2" xfId="23"/>
    <cellStyle name="Separador de milhares 4" xfId="24"/>
    <cellStyle name="Separador de milhares 4 2" xfId="25"/>
    <cellStyle name="Separador de milhares 5" xfId="26"/>
    <cellStyle name="Título 1 1" xfId="2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E3E3E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33CC"/>
      <rgbColor rgb="0033CCCC"/>
      <rgbColor rgb="0099CC00"/>
      <rgbColor rgb="00FFCC00"/>
      <rgbColor rgb="00FF9900"/>
      <rgbColor rgb="00FF6600"/>
      <rgbColor rgb="00996666"/>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1625600</xdr:colOff>
      <xdr:row>1</xdr:row>
      <xdr:rowOff>107950</xdr:rowOff>
    </xdr:from>
    <xdr:to>
      <xdr:col>7</xdr:col>
      <xdr:colOff>1035050</xdr:colOff>
      <xdr:row>4</xdr:row>
      <xdr:rowOff>177800</xdr:rowOff>
    </xdr:to>
    <xdr:sp macro="" textlink="" fLocksText="0">
      <xdr:nvSpPr>
        <xdr:cNvPr id="5121" name="Text Box 2"/>
        <xdr:cNvSpPr txBox="1">
          <a:spLocks noChangeArrowheads="1"/>
        </xdr:cNvSpPr>
      </xdr:nvSpPr>
      <xdr:spPr bwMode="auto">
        <a:xfrm>
          <a:off x="3238500" y="285750"/>
          <a:ext cx="5353050" cy="565150"/>
        </a:xfrm>
        <a:prstGeom prst="rect">
          <a:avLst/>
        </a:prstGeom>
        <a:noFill/>
        <a:ln w="9525">
          <a:noFill/>
          <a:round/>
          <a:headEnd/>
          <a:tailEnd/>
        </a:ln>
        <a:effectLst/>
      </xdr:spPr>
      <xdr:txBody>
        <a:bodyPr vertOverflow="clip" wrap="square" lIns="27360" tIns="22680" rIns="0" bIns="0" anchor="t" upright="1"/>
        <a:lstStyle/>
        <a:p>
          <a:pPr algn="l" rtl="0">
            <a:defRPr sz="1000"/>
          </a:pPr>
          <a:r>
            <a:rPr lang="pt-BR" sz="1000" b="1" i="0" u="none" strike="noStrike" baseline="0">
              <a:solidFill>
                <a:srgbClr val="000000"/>
              </a:solidFill>
              <a:latin typeface="Arial"/>
              <a:cs typeface="Arial"/>
            </a:rPr>
            <a:t>Ministério da Integração Nacional - MI</a:t>
          </a:r>
        </a:p>
        <a:p>
          <a:pPr algn="l" rtl="0">
            <a:defRPr sz="1000"/>
          </a:pPr>
          <a:r>
            <a:rPr lang="pt-BR" sz="1000" b="1" i="0" u="none" strike="noStrike" baseline="0">
              <a:solidFill>
                <a:srgbClr val="000000"/>
              </a:solidFill>
              <a:latin typeface="Arial"/>
              <a:cs typeface="Arial"/>
            </a:rPr>
            <a:t>Companhia de Desenvolvimento dos Vales do São Francisco e do Parnaíba </a:t>
          </a:r>
        </a:p>
        <a:p>
          <a:pPr algn="l" rtl="0">
            <a:defRPr sz="1000"/>
          </a:pPr>
          <a:r>
            <a:rPr lang="pt-BR" sz="1000" b="1" i="0" u="none" strike="noStrike" baseline="0">
              <a:solidFill>
                <a:srgbClr val="000000"/>
              </a:solidFill>
              <a:latin typeface="Arial"/>
              <a:cs typeface="Arial"/>
            </a:rPr>
            <a:t>3ª GRD/UEP - 3ª Superintendência Regional</a:t>
          </a:r>
        </a:p>
      </xdr:txBody>
    </xdr:sp>
    <xdr:clientData/>
  </xdr:twoCellAnchor>
  <xdr:twoCellAnchor>
    <xdr:from>
      <xdr:col>1</xdr:col>
      <xdr:colOff>152400</xdr:colOff>
      <xdr:row>1</xdr:row>
      <xdr:rowOff>133350</xdr:rowOff>
    </xdr:from>
    <xdr:to>
      <xdr:col>3</xdr:col>
      <xdr:colOff>1552575</xdr:colOff>
      <xdr:row>4</xdr:row>
      <xdr:rowOff>142875</xdr:rowOff>
    </xdr:to>
    <xdr:pic>
      <xdr:nvPicPr>
        <xdr:cNvPr id="95931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66700" y="219075"/>
          <a:ext cx="2590800" cy="495300"/>
        </a:xfrm>
        <a:prstGeom prst="rect">
          <a:avLst/>
        </a:prstGeom>
        <a:noFill/>
        <a:ln w="9525">
          <a:noFill/>
          <a:round/>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3385705</xdr:colOff>
      <xdr:row>1</xdr:row>
      <xdr:rowOff>107950</xdr:rowOff>
    </xdr:from>
    <xdr:to>
      <xdr:col>8</xdr:col>
      <xdr:colOff>606137</xdr:colOff>
      <xdr:row>4</xdr:row>
      <xdr:rowOff>177800</xdr:rowOff>
    </xdr:to>
    <xdr:sp macro="" textlink="" fLocksText="0">
      <xdr:nvSpPr>
        <xdr:cNvPr id="2" name="Text Box 2"/>
        <xdr:cNvSpPr txBox="1">
          <a:spLocks noChangeArrowheads="1"/>
        </xdr:cNvSpPr>
      </xdr:nvSpPr>
      <xdr:spPr bwMode="auto">
        <a:xfrm>
          <a:off x="3498273" y="272473"/>
          <a:ext cx="5230091" cy="563418"/>
        </a:xfrm>
        <a:prstGeom prst="rect">
          <a:avLst/>
        </a:prstGeom>
        <a:noFill/>
        <a:ln w="9525">
          <a:noFill/>
          <a:round/>
          <a:headEnd/>
          <a:tailEnd/>
        </a:ln>
        <a:effectLst/>
      </xdr:spPr>
      <xdr:txBody>
        <a:bodyPr vertOverflow="clip" wrap="square" lIns="27360" tIns="22680" rIns="0" bIns="0" anchor="t" upright="1"/>
        <a:lstStyle/>
        <a:p>
          <a:pPr algn="l" rtl="0">
            <a:defRPr sz="1000"/>
          </a:pPr>
          <a:r>
            <a:rPr lang="pt-BR" sz="1000" b="1" i="0" u="none" strike="noStrike" baseline="0">
              <a:solidFill>
                <a:srgbClr val="000000"/>
              </a:solidFill>
              <a:latin typeface="Arial"/>
              <a:cs typeface="Arial"/>
            </a:rPr>
            <a:t>Ministério da Integração Nacional - MI</a:t>
          </a:r>
        </a:p>
        <a:p>
          <a:pPr algn="l" rtl="0">
            <a:defRPr sz="1000"/>
          </a:pPr>
          <a:r>
            <a:rPr lang="pt-BR" sz="1000" b="1" i="0" u="none" strike="noStrike" baseline="0">
              <a:solidFill>
                <a:srgbClr val="000000"/>
              </a:solidFill>
              <a:latin typeface="Arial"/>
              <a:cs typeface="Arial"/>
            </a:rPr>
            <a:t>Companhia de Desenvolvimento dos Vales do São Francisco e do Parnaíba </a:t>
          </a:r>
        </a:p>
        <a:p>
          <a:pPr algn="l" rtl="0">
            <a:defRPr sz="1000"/>
          </a:pPr>
          <a:r>
            <a:rPr lang="pt-BR" sz="1000" b="1" i="0" u="none" strike="noStrike" baseline="0">
              <a:solidFill>
                <a:srgbClr val="000000"/>
              </a:solidFill>
              <a:latin typeface="Arial"/>
              <a:cs typeface="Arial"/>
            </a:rPr>
            <a:t>3ª GRD/UEP - 3ª Superintendência Regional</a:t>
          </a:r>
        </a:p>
      </xdr:txBody>
    </xdr:sp>
    <xdr:clientData/>
  </xdr:twoCellAnchor>
  <xdr:twoCellAnchor>
    <xdr:from>
      <xdr:col>1</xdr:col>
      <xdr:colOff>152400</xdr:colOff>
      <xdr:row>1</xdr:row>
      <xdr:rowOff>133350</xdr:rowOff>
    </xdr:from>
    <xdr:to>
      <xdr:col>1</xdr:col>
      <xdr:colOff>3067050</xdr:colOff>
      <xdr:row>4</xdr:row>
      <xdr:rowOff>142875</xdr:rowOff>
    </xdr:to>
    <xdr:pic>
      <xdr:nvPicPr>
        <xdr:cNvPr id="220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66700" y="304800"/>
          <a:ext cx="2914650" cy="495300"/>
        </a:xfrm>
        <a:prstGeom prst="rect">
          <a:avLst/>
        </a:prstGeom>
        <a:noFill/>
        <a:ln w="9525">
          <a:noFill/>
          <a:round/>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1853047</xdr:colOff>
      <xdr:row>1</xdr:row>
      <xdr:rowOff>81973</xdr:rowOff>
    </xdr:from>
    <xdr:to>
      <xdr:col>6</xdr:col>
      <xdr:colOff>43296</xdr:colOff>
      <xdr:row>4</xdr:row>
      <xdr:rowOff>151823</xdr:rowOff>
    </xdr:to>
    <xdr:sp macro="" textlink="" fLocksText="0">
      <xdr:nvSpPr>
        <xdr:cNvPr id="2" name="Text Box 2"/>
        <xdr:cNvSpPr txBox="1">
          <a:spLocks noChangeArrowheads="1"/>
        </xdr:cNvSpPr>
      </xdr:nvSpPr>
      <xdr:spPr bwMode="auto">
        <a:xfrm>
          <a:off x="1965615" y="194541"/>
          <a:ext cx="4675908" cy="563418"/>
        </a:xfrm>
        <a:prstGeom prst="rect">
          <a:avLst/>
        </a:prstGeom>
        <a:noFill/>
        <a:ln w="9525">
          <a:noFill/>
          <a:round/>
          <a:headEnd/>
          <a:tailEnd/>
        </a:ln>
        <a:effectLst/>
      </xdr:spPr>
      <xdr:txBody>
        <a:bodyPr vertOverflow="clip" wrap="square" lIns="27360" tIns="22680" rIns="0" bIns="0" anchor="t" upright="1"/>
        <a:lstStyle/>
        <a:p>
          <a:pPr algn="l" rtl="0">
            <a:defRPr sz="1000"/>
          </a:pPr>
          <a:r>
            <a:rPr lang="pt-BR" sz="1000" b="1" i="0" u="none" strike="noStrike" baseline="0">
              <a:solidFill>
                <a:srgbClr val="000000"/>
              </a:solidFill>
              <a:latin typeface="Arial"/>
              <a:cs typeface="Arial"/>
            </a:rPr>
            <a:t>Ministério da Integração Nacional - MI</a:t>
          </a:r>
        </a:p>
        <a:p>
          <a:pPr algn="l" rtl="0">
            <a:defRPr sz="1000"/>
          </a:pPr>
          <a:r>
            <a:rPr lang="pt-BR" sz="1000" b="1" i="0" u="none" strike="noStrike" baseline="0">
              <a:solidFill>
                <a:srgbClr val="000000"/>
              </a:solidFill>
              <a:latin typeface="Arial"/>
              <a:cs typeface="Arial"/>
            </a:rPr>
            <a:t>Companhia de Desenvolvimento dos Vales do São Francisco e do Parnaíba </a:t>
          </a:r>
        </a:p>
        <a:p>
          <a:pPr algn="l" rtl="0">
            <a:defRPr sz="1000"/>
          </a:pPr>
          <a:r>
            <a:rPr lang="pt-BR" sz="1000" b="1" i="0" u="none" strike="noStrike" baseline="0">
              <a:solidFill>
                <a:srgbClr val="000000"/>
              </a:solidFill>
              <a:latin typeface="Arial"/>
              <a:cs typeface="Arial"/>
            </a:rPr>
            <a:t>3ª GRD/UEP - 3ª Superintendência Regional</a:t>
          </a:r>
        </a:p>
      </xdr:txBody>
    </xdr:sp>
    <xdr:clientData/>
  </xdr:twoCellAnchor>
  <xdr:twoCellAnchor>
    <xdr:from>
      <xdr:col>1</xdr:col>
      <xdr:colOff>152400</xdr:colOff>
      <xdr:row>1</xdr:row>
      <xdr:rowOff>133350</xdr:rowOff>
    </xdr:from>
    <xdr:to>
      <xdr:col>1</xdr:col>
      <xdr:colOff>1790700</xdr:colOff>
      <xdr:row>4</xdr:row>
      <xdr:rowOff>142875</xdr:rowOff>
    </xdr:to>
    <xdr:pic>
      <xdr:nvPicPr>
        <xdr:cNvPr id="629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66700" y="247650"/>
          <a:ext cx="1638300" cy="495300"/>
        </a:xfrm>
        <a:prstGeom prst="rect">
          <a:avLst/>
        </a:prstGeom>
        <a:noFill/>
        <a:ln w="9525">
          <a:noFill/>
          <a:round/>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1123950</xdr:colOff>
      <xdr:row>0</xdr:row>
      <xdr:rowOff>57150</xdr:rowOff>
    </xdr:from>
    <xdr:to>
      <xdr:col>6</xdr:col>
      <xdr:colOff>1028700</xdr:colOff>
      <xdr:row>4</xdr:row>
      <xdr:rowOff>95250</xdr:rowOff>
    </xdr:to>
    <xdr:sp macro="" textlink="" fLocksText="0">
      <xdr:nvSpPr>
        <xdr:cNvPr id="1025" name="Text Box 2"/>
        <xdr:cNvSpPr txBox="1">
          <a:spLocks noChangeArrowheads="1"/>
        </xdr:cNvSpPr>
      </xdr:nvSpPr>
      <xdr:spPr bwMode="auto">
        <a:xfrm>
          <a:off x="2028825" y="57150"/>
          <a:ext cx="3552825" cy="685800"/>
        </a:xfrm>
        <a:prstGeom prst="rect">
          <a:avLst/>
        </a:prstGeom>
        <a:noFill/>
        <a:ln w="9525">
          <a:noFill/>
          <a:round/>
          <a:headEnd/>
          <a:tailEnd/>
        </a:ln>
        <a:effectLst/>
      </xdr:spPr>
      <xdr:txBody>
        <a:bodyPr vertOverflow="clip" wrap="square" lIns="27360" tIns="22680" rIns="0" bIns="0" anchor="t" upright="1"/>
        <a:lstStyle/>
        <a:p>
          <a:pPr algn="l" rtl="0">
            <a:defRPr sz="1000"/>
          </a:pPr>
          <a:r>
            <a:rPr lang="pt-BR" sz="1000" b="1" i="0" u="none" strike="noStrike" baseline="0">
              <a:solidFill>
                <a:srgbClr val="000000"/>
              </a:solidFill>
              <a:latin typeface="Arial"/>
              <a:cs typeface="Arial"/>
            </a:rPr>
            <a:t>Ministério da Integração Nacional </a:t>
          </a:r>
        </a:p>
        <a:p>
          <a:pPr algn="l" rtl="0">
            <a:defRPr sz="1000"/>
          </a:pPr>
          <a:r>
            <a:rPr lang="pt-BR" sz="1000" b="1" i="0" u="none" strike="noStrike" baseline="0">
              <a:solidFill>
                <a:srgbClr val="000000"/>
              </a:solidFill>
              <a:latin typeface="Arial"/>
              <a:cs typeface="Arial"/>
            </a:rPr>
            <a:t>Companhia de Desenvolvimento dos Vales do São Francisco e do Parnaíba</a:t>
          </a:r>
        </a:p>
        <a:p>
          <a:pPr algn="l" rtl="0">
            <a:defRPr sz="1000"/>
          </a:pPr>
          <a:r>
            <a:rPr lang="pt-BR" sz="1000" b="1" i="0" u="none" strike="noStrike" baseline="0">
              <a:solidFill>
                <a:srgbClr val="000000"/>
              </a:solidFill>
              <a:latin typeface="Arial"/>
              <a:cs typeface="Arial"/>
            </a:rPr>
            <a:t>3ª Superintendência Regional</a:t>
          </a:r>
        </a:p>
      </xdr:txBody>
    </xdr:sp>
    <xdr:clientData/>
  </xdr:twoCellAnchor>
  <xdr:twoCellAnchor>
    <xdr:from>
      <xdr:col>0</xdr:col>
      <xdr:colOff>28575</xdr:colOff>
      <xdr:row>0</xdr:row>
      <xdr:rowOff>104775</xdr:rowOff>
    </xdr:from>
    <xdr:to>
      <xdr:col>2</xdr:col>
      <xdr:colOff>1066800</xdr:colOff>
      <xdr:row>4</xdr:row>
      <xdr:rowOff>38100</xdr:rowOff>
    </xdr:to>
    <xdr:pic>
      <xdr:nvPicPr>
        <xdr:cNvPr id="96033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575" y="104775"/>
          <a:ext cx="1943100" cy="581025"/>
        </a:xfrm>
        <a:prstGeom prst="rect">
          <a:avLst/>
        </a:prstGeom>
        <a:noFill/>
        <a:ln w="9525">
          <a:noFill/>
          <a:round/>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1190625</xdr:colOff>
      <xdr:row>1</xdr:row>
      <xdr:rowOff>161925</xdr:rowOff>
    </xdr:to>
    <xdr:pic>
      <xdr:nvPicPr>
        <xdr:cNvPr id="100865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6675" y="28575"/>
          <a:ext cx="3057525" cy="5524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1625600</xdr:colOff>
      <xdr:row>2</xdr:row>
      <xdr:rowOff>107950</xdr:rowOff>
    </xdr:from>
    <xdr:to>
      <xdr:col>7</xdr:col>
      <xdr:colOff>1035050</xdr:colOff>
      <xdr:row>5</xdr:row>
      <xdr:rowOff>177800</xdr:rowOff>
    </xdr:to>
    <xdr:sp macro="" textlink="" fLocksText="0">
      <xdr:nvSpPr>
        <xdr:cNvPr id="2" name="Text Box 2"/>
        <xdr:cNvSpPr txBox="1">
          <a:spLocks noChangeArrowheads="1"/>
        </xdr:cNvSpPr>
      </xdr:nvSpPr>
      <xdr:spPr bwMode="auto">
        <a:xfrm>
          <a:off x="2930525" y="193675"/>
          <a:ext cx="4943475" cy="555625"/>
        </a:xfrm>
        <a:prstGeom prst="rect">
          <a:avLst/>
        </a:prstGeom>
        <a:noFill/>
        <a:ln w="9525">
          <a:noFill/>
          <a:round/>
          <a:headEnd/>
          <a:tailEnd/>
        </a:ln>
        <a:effectLst/>
      </xdr:spPr>
      <xdr:txBody>
        <a:bodyPr vertOverflow="clip" wrap="square" lIns="27360" tIns="22680" rIns="0" bIns="0" anchor="t" upright="1"/>
        <a:lstStyle/>
        <a:p>
          <a:pPr algn="l" rtl="0">
            <a:defRPr sz="1000"/>
          </a:pPr>
          <a:r>
            <a:rPr lang="pt-BR" sz="1000" b="1" i="0" u="none" strike="noStrike" baseline="0">
              <a:solidFill>
                <a:srgbClr val="000000"/>
              </a:solidFill>
              <a:latin typeface="Arial"/>
              <a:cs typeface="Arial"/>
            </a:rPr>
            <a:t>Ministério da Integração Nacional - MI</a:t>
          </a:r>
        </a:p>
        <a:p>
          <a:pPr algn="l" rtl="0">
            <a:defRPr sz="1000"/>
          </a:pPr>
          <a:r>
            <a:rPr lang="pt-BR" sz="1000" b="1" i="0" u="none" strike="noStrike" baseline="0">
              <a:solidFill>
                <a:srgbClr val="000000"/>
              </a:solidFill>
              <a:latin typeface="Arial"/>
              <a:cs typeface="Arial"/>
            </a:rPr>
            <a:t>Companhia de Desenvolvimento dos Vales do São Francisco e do Parnaíba </a:t>
          </a:r>
        </a:p>
        <a:p>
          <a:pPr algn="l" rtl="0">
            <a:defRPr sz="1000"/>
          </a:pPr>
          <a:r>
            <a:rPr lang="pt-BR" sz="1000" b="1" i="0" u="none" strike="noStrike" baseline="0">
              <a:solidFill>
                <a:srgbClr val="000000"/>
              </a:solidFill>
              <a:latin typeface="Arial"/>
              <a:cs typeface="Arial"/>
            </a:rPr>
            <a:t>3ª GRD/UEP - 3ª Superintendência Regional</a:t>
          </a:r>
        </a:p>
      </xdr:txBody>
    </xdr:sp>
    <xdr:clientData/>
  </xdr:twoCellAnchor>
  <xdr:twoCellAnchor>
    <xdr:from>
      <xdr:col>1</xdr:col>
      <xdr:colOff>152400</xdr:colOff>
      <xdr:row>2</xdr:row>
      <xdr:rowOff>133350</xdr:rowOff>
    </xdr:from>
    <xdr:to>
      <xdr:col>3</xdr:col>
      <xdr:colOff>1552575</xdr:colOff>
      <xdr:row>5</xdr:row>
      <xdr:rowOff>142875</xdr:rowOff>
    </xdr:to>
    <xdr:pic>
      <xdr:nvPicPr>
        <xdr:cNvPr id="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66700" y="219075"/>
          <a:ext cx="2590800" cy="495300"/>
        </a:xfrm>
        <a:prstGeom prst="rect">
          <a:avLst/>
        </a:prstGeom>
        <a:noFill/>
        <a:ln w="9525">
          <a:noFill/>
          <a:round/>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1:T55"/>
  <sheetViews>
    <sheetView tabSelected="1" view="pageBreakPreview" zoomScale="90" zoomScaleNormal="100" zoomScaleSheetLayoutView="90" workbookViewId="0"/>
  </sheetViews>
  <sheetFormatPr defaultColWidth="11.140625" defaultRowHeight="12.75"/>
  <cols>
    <col min="1" max="1" width="1.7109375" style="141" customWidth="1"/>
    <col min="2" max="2" width="7.7109375" style="158" customWidth="1"/>
    <col min="3" max="3" width="10.140625" style="159" customWidth="1"/>
    <col min="4" max="4" width="50.85546875" style="160" customWidth="1"/>
    <col min="5" max="5" width="7.42578125" style="158" customWidth="1"/>
    <col min="6" max="6" width="10.7109375" style="161" customWidth="1"/>
    <col min="7" max="7" width="14" style="161" customWidth="1"/>
    <col min="8" max="8" width="15.85546875" style="162" customWidth="1"/>
    <col min="9" max="9" width="2.42578125" style="472" customWidth="1"/>
    <col min="10" max="16384" width="11.140625" style="141"/>
  </cols>
  <sheetData>
    <row r="1" spans="2:18" ht="6.75" customHeight="1" thickBot="1">
      <c r="B1" s="141"/>
      <c r="C1" s="141"/>
      <c r="D1" s="141"/>
      <c r="E1" s="141"/>
      <c r="F1" s="141"/>
      <c r="G1" s="141"/>
      <c r="H1" s="141"/>
    </row>
    <row r="2" spans="2:18">
      <c r="B2" s="644"/>
      <c r="C2" s="645"/>
      <c r="D2" s="645"/>
      <c r="E2" s="645"/>
      <c r="F2" s="645"/>
      <c r="G2" s="645"/>
      <c r="H2" s="646"/>
    </row>
    <row r="3" spans="2:18">
      <c r="B3" s="647"/>
      <c r="C3" s="648"/>
      <c r="D3" s="648"/>
      <c r="E3" s="648"/>
      <c r="F3" s="648"/>
      <c r="G3" s="648"/>
      <c r="H3" s="649"/>
    </row>
    <row r="4" spans="2:18">
      <c r="B4" s="647"/>
      <c r="C4" s="648"/>
      <c r="D4" s="648"/>
      <c r="E4" s="648"/>
      <c r="F4" s="648"/>
      <c r="G4" s="648"/>
      <c r="H4" s="649"/>
    </row>
    <row r="5" spans="2:18" ht="13.5" thickBot="1">
      <c r="B5" s="650"/>
      <c r="C5" s="651"/>
      <c r="D5" s="651"/>
      <c r="E5" s="651"/>
      <c r="F5" s="651"/>
      <c r="G5" s="651"/>
      <c r="H5" s="652"/>
    </row>
    <row r="6" spans="2:18" ht="39.75" customHeight="1">
      <c r="B6" s="965" t="s">
        <v>703</v>
      </c>
      <c r="C6" s="966"/>
      <c r="D6" s="966"/>
      <c r="E6" s="966"/>
      <c r="F6" s="966"/>
      <c r="G6" s="966"/>
      <c r="H6" s="967"/>
    </row>
    <row r="7" spans="2:18" ht="15.75">
      <c r="B7" s="636" t="s">
        <v>715</v>
      </c>
      <c r="C7" s="637"/>
      <c r="D7" s="637"/>
      <c r="E7" s="637"/>
      <c r="F7" s="637"/>
      <c r="G7" s="637"/>
      <c r="H7" s="638"/>
    </row>
    <row r="8" spans="2:18" ht="16.5" thickBot="1">
      <c r="B8" s="669" t="s">
        <v>122</v>
      </c>
      <c r="C8" s="670"/>
      <c r="D8" s="670"/>
      <c r="E8" s="670"/>
      <c r="F8" s="670"/>
      <c r="G8" s="670"/>
      <c r="H8" s="671"/>
    </row>
    <row r="9" spans="2:18" ht="19.5" thickBot="1">
      <c r="B9" s="658" t="s">
        <v>123</v>
      </c>
      <c r="C9" s="659"/>
      <c r="D9" s="659"/>
      <c r="E9" s="659"/>
      <c r="F9" s="659"/>
      <c r="G9" s="660"/>
      <c r="H9" s="408">
        <f>H13+H19</f>
        <v>182332.82</v>
      </c>
      <c r="J9" s="142"/>
    </row>
    <row r="10" spans="2:18" ht="15.75">
      <c r="B10" s="672"/>
      <c r="C10" s="673"/>
      <c r="D10" s="673"/>
      <c r="E10" s="673"/>
      <c r="F10" s="673"/>
      <c r="G10" s="673"/>
      <c r="H10" s="674"/>
    </row>
    <row r="11" spans="2:18" ht="15.75">
      <c r="B11" s="653" t="s">
        <v>124</v>
      </c>
      <c r="C11" s="640" t="s">
        <v>125</v>
      </c>
      <c r="D11" s="656" t="s">
        <v>126</v>
      </c>
      <c r="E11" s="639" t="s">
        <v>117</v>
      </c>
      <c r="F11" s="665" t="s">
        <v>48</v>
      </c>
      <c r="G11" s="667" t="s">
        <v>127</v>
      </c>
      <c r="H11" s="668"/>
    </row>
    <row r="12" spans="2:18" ht="16.5" thickBot="1">
      <c r="B12" s="654"/>
      <c r="C12" s="655"/>
      <c r="D12" s="657"/>
      <c r="E12" s="640"/>
      <c r="F12" s="666"/>
      <c r="G12" s="418" t="s">
        <v>128</v>
      </c>
      <c r="H12" s="419" t="s">
        <v>118</v>
      </c>
    </row>
    <row r="13" spans="2:18" ht="16.5" thickBot="1">
      <c r="B13" s="421" t="s">
        <v>129</v>
      </c>
      <c r="C13" s="641" t="s">
        <v>130</v>
      </c>
      <c r="D13" s="642"/>
      <c r="E13" s="642"/>
      <c r="F13" s="642"/>
      <c r="G13" s="643"/>
      <c r="H13" s="476">
        <f>SUM(H14:H18)</f>
        <v>18336.37</v>
      </c>
      <c r="N13" s="143"/>
      <c r="O13" s="661"/>
      <c r="P13" s="661"/>
      <c r="Q13" s="661"/>
      <c r="R13" s="661"/>
    </row>
    <row r="14" spans="2:18" ht="30">
      <c r="B14" s="249" t="s">
        <v>12</v>
      </c>
      <c r="C14" s="250" t="s">
        <v>44</v>
      </c>
      <c r="D14" s="420" t="s">
        <v>556</v>
      </c>
      <c r="E14" s="252" t="s">
        <v>59</v>
      </c>
      <c r="F14" s="253">
        <v>1</v>
      </c>
      <c r="G14" s="253">
        <f>CPU!I36</f>
        <v>1717.55</v>
      </c>
      <c r="H14" s="254">
        <f>G14*F14</f>
        <v>1717.55</v>
      </c>
    </row>
    <row r="15" spans="2:18" ht="45">
      <c r="B15" s="144" t="s">
        <v>14</v>
      </c>
      <c r="C15" s="145" t="s">
        <v>65</v>
      </c>
      <c r="D15" s="149" t="s">
        <v>666</v>
      </c>
      <c r="E15" s="150" t="s">
        <v>80</v>
      </c>
      <c r="F15" s="147">
        <f>3*2</f>
        <v>6</v>
      </c>
      <c r="G15" s="147">
        <f>CPU!I65</f>
        <v>414.94</v>
      </c>
      <c r="H15" s="148">
        <f>G15*F15</f>
        <v>2489.64</v>
      </c>
    </row>
    <row r="16" spans="2:18" ht="30">
      <c r="B16" s="144" t="s">
        <v>16</v>
      </c>
      <c r="C16" s="145" t="s">
        <v>78</v>
      </c>
      <c r="D16" s="149" t="s">
        <v>557</v>
      </c>
      <c r="E16" s="151" t="s">
        <v>59</v>
      </c>
      <c r="F16" s="147">
        <v>1</v>
      </c>
      <c r="G16" s="147">
        <f>CPU!I99</f>
        <v>1717.55</v>
      </c>
      <c r="H16" s="148">
        <f>G16*F16</f>
        <v>1717.55</v>
      </c>
    </row>
    <row r="17" spans="2:18" ht="45">
      <c r="B17" s="144" t="s">
        <v>132</v>
      </c>
      <c r="C17" s="145" t="s">
        <v>79</v>
      </c>
      <c r="D17" s="149" t="s">
        <v>558</v>
      </c>
      <c r="E17" s="151" t="s">
        <v>59</v>
      </c>
      <c r="F17" s="147">
        <v>1</v>
      </c>
      <c r="G17" s="147">
        <f>CPU!I142</f>
        <v>2668.35</v>
      </c>
      <c r="H17" s="148">
        <f>G17*F17</f>
        <v>2668.35</v>
      </c>
    </row>
    <row r="18" spans="2:18" ht="45.75" thickBot="1">
      <c r="B18" s="411" t="s">
        <v>298</v>
      </c>
      <c r="C18" s="351" t="s">
        <v>105</v>
      </c>
      <c r="D18" s="412" t="s">
        <v>559</v>
      </c>
      <c r="E18" s="353" t="s">
        <v>630</v>
      </c>
      <c r="F18" s="339">
        <v>3</v>
      </c>
      <c r="G18" s="339">
        <f>CPU!I172</f>
        <v>3247.76</v>
      </c>
      <c r="H18" s="415">
        <f>G18*F18</f>
        <v>9743.2800000000007</v>
      </c>
    </row>
    <row r="19" spans="2:18" ht="16.5" thickBot="1">
      <c r="B19" s="678" t="s">
        <v>213</v>
      </c>
      <c r="C19" s="679"/>
      <c r="D19" s="679"/>
      <c r="E19" s="679"/>
      <c r="F19" s="679"/>
      <c r="G19" s="679"/>
      <c r="H19" s="477">
        <f>H20+H40+H47</f>
        <v>163996.45000000001</v>
      </c>
    </row>
    <row r="20" spans="2:18" ht="16.5" thickBot="1">
      <c r="B20" s="410" t="s">
        <v>133</v>
      </c>
      <c r="C20" s="662" t="s">
        <v>300</v>
      </c>
      <c r="D20" s="663"/>
      <c r="E20" s="663"/>
      <c r="F20" s="663"/>
      <c r="G20" s="664"/>
      <c r="H20" s="478">
        <f>SUM(H21:H39)</f>
        <v>121645.64</v>
      </c>
    </row>
    <row r="21" spans="2:18" ht="30">
      <c r="B21" s="249" t="s">
        <v>631</v>
      </c>
      <c r="C21" s="250" t="s">
        <v>326</v>
      </c>
      <c r="D21" s="251" t="s">
        <v>629</v>
      </c>
      <c r="E21" s="252" t="s">
        <v>80</v>
      </c>
      <c r="F21" s="253">
        <f>'Mem. Cálc.'!J9</f>
        <v>1634.47</v>
      </c>
      <c r="G21" s="253">
        <f>CPU!I198</f>
        <v>1.48</v>
      </c>
      <c r="H21" s="254">
        <f>G21*F21</f>
        <v>2419.02</v>
      </c>
      <c r="K21" s="141" t="s">
        <v>580</v>
      </c>
    </row>
    <row r="22" spans="2:18" ht="15">
      <c r="B22" s="249" t="s">
        <v>632</v>
      </c>
      <c r="C22" s="250" t="s">
        <v>740</v>
      </c>
      <c r="D22" s="251" t="s">
        <v>737</v>
      </c>
      <c r="E22" s="252" t="s">
        <v>80</v>
      </c>
      <c r="F22" s="253">
        <f>'Mem. Cálc.'!J9</f>
        <v>1634.47</v>
      </c>
      <c r="G22" s="253">
        <f>CPU!I255</f>
        <v>0.69</v>
      </c>
      <c r="H22" s="254">
        <f>G22*F22</f>
        <v>1127.78</v>
      </c>
    </row>
    <row r="23" spans="2:18" ht="30">
      <c r="B23" s="249" t="s">
        <v>633</v>
      </c>
      <c r="C23" s="250" t="s">
        <v>717</v>
      </c>
      <c r="D23" s="251" t="s">
        <v>718</v>
      </c>
      <c r="E23" s="252" t="s">
        <v>87</v>
      </c>
      <c r="F23" s="253">
        <f>'Mem. Cálc.'!J21</f>
        <v>817.24</v>
      </c>
      <c r="G23" s="253">
        <f>CPU!I285</f>
        <v>3.21</v>
      </c>
      <c r="H23" s="254">
        <f>G23*F23</f>
        <v>2623.34</v>
      </c>
    </row>
    <row r="24" spans="2:18" ht="45">
      <c r="B24" s="249" t="s">
        <v>634</v>
      </c>
      <c r="C24" s="250" t="s">
        <v>294</v>
      </c>
      <c r="D24" s="251" t="s">
        <v>565</v>
      </c>
      <c r="E24" s="252" t="s">
        <v>80</v>
      </c>
      <c r="F24" s="253">
        <f>F21</f>
        <v>1634.47</v>
      </c>
      <c r="G24" s="253">
        <f>CPU!I229</f>
        <v>2.4500000000000002</v>
      </c>
      <c r="H24" s="254">
        <f>G24*F24</f>
        <v>4004.45</v>
      </c>
      <c r="K24" s="141" t="s">
        <v>582</v>
      </c>
    </row>
    <row r="25" spans="2:18" ht="30">
      <c r="B25" s="249" t="s">
        <v>635</v>
      </c>
      <c r="C25" s="250" t="s">
        <v>327</v>
      </c>
      <c r="D25" s="251" t="s">
        <v>628</v>
      </c>
      <c r="E25" s="252" t="s">
        <v>87</v>
      </c>
      <c r="F25" s="253">
        <f>'Mem. Cálc.'!J17</f>
        <v>44.42</v>
      </c>
      <c r="G25" s="253">
        <f>CPU!I312</f>
        <v>17.96</v>
      </c>
      <c r="H25" s="254">
        <f t="shared" ref="H25:H43" si="0">G25*F25</f>
        <v>797.78</v>
      </c>
      <c r="K25" s="141" t="s">
        <v>581</v>
      </c>
      <c r="L25" s="153"/>
      <c r="N25" s="154"/>
      <c r="O25" s="154"/>
      <c r="P25" s="154"/>
      <c r="Q25" s="154"/>
      <c r="R25" s="154"/>
    </row>
    <row r="26" spans="2:18" ht="18.75">
      <c r="B26" s="249" t="s">
        <v>636</v>
      </c>
      <c r="C26" s="145" t="s">
        <v>431</v>
      </c>
      <c r="D26" s="152" t="s">
        <v>560</v>
      </c>
      <c r="E26" s="151" t="s">
        <v>87</v>
      </c>
      <c r="F26" s="253">
        <f>'Mem. Cálc.'!J25</f>
        <v>13.03</v>
      </c>
      <c r="G26" s="147">
        <f>CPU!I338</f>
        <v>16.329999999999998</v>
      </c>
      <c r="H26" s="148">
        <f>G26*F26</f>
        <v>212.78</v>
      </c>
      <c r="K26" s="682" t="s">
        <v>584</v>
      </c>
      <c r="L26" s="682"/>
      <c r="M26" s="682"/>
      <c r="N26" s="682"/>
      <c r="O26" s="682"/>
      <c r="P26" s="154"/>
      <c r="Q26" s="154"/>
      <c r="R26" s="154"/>
    </row>
    <row r="27" spans="2:18" ht="60">
      <c r="B27" s="249" t="s">
        <v>637</v>
      </c>
      <c r="C27" s="145" t="s">
        <v>371</v>
      </c>
      <c r="D27" s="152" t="s">
        <v>667</v>
      </c>
      <c r="E27" s="151" t="s">
        <v>80</v>
      </c>
      <c r="F27" s="253">
        <f>'Mem. Cálc.'!J33</f>
        <v>158.07</v>
      </c>
      <c r="G27" s="147">
        <f>CPU!I540</f>
        <v>26.89</v>
      </c>
      <c r="H27" s="148">
        <f t="shared" si="0"/>
        <v>4250.5</v>
      </c>
      <c r="K27" s="680" t="s">
        <v>585</v>
      </c>
      <c r="L27" s="680"/>
      <c r="M27" s="680"/>
      <c r="N27" s="338"/>
      <c r="O27" s="338"/>
      <c r="P27" s="154"/>
      <c r="Q27" s="154"/>
      <c r="R27" s="155"/>
    </row>
    <row r="28" spans="2:18" ht="45">
      <c r="B28" s="249" t="s">
        <v>638</v>
      </c>
      <c r="C28" s="145" t="s">
        <v>377</v>
      </c>
      <c r="D28" s="152" t="s">
        <v>561</v>
      </c>
      <c r="E28" s="151" t="s">
        <v>80</v>
      </c>
      <c r="F28" s="253">
        <f>'Mem. Cálc.'!J46</f>
        <v>567.53</v>
      </c>
      <c r="G28" s="147">
        <f>CPU!I365</f>
        <v>4.1399999999999997</v>
      </c>
      <c r="H28" s="148">
        <f t="shared" si="0"/>
        <v>2349.5700000000002</v>
      </c>
      <c r="K28" s="682" t="s">
        <v>586</v>
      </c>
      <c r="L28" s="682"/>
      <c r="M28" s="682"/>
      <c r="N28" s="682"/>
      <c r="O28" s="682"/>
      <c r="P28" s="154"/>
      <c r="Q28" s="154"/>
      <c r="R28" s="155"/>
    </row>
    <row r="29" spans="2:18" ht="60">
      <c r="B29" s="249" t="s">
        <v>639</v>
      </c>
      <c r="C29" s="156" t="s">
        <v>378</v>
      </c>
      <c r="D29" s="146" t="s">
        <v>566</v>
      </c>
      <c r="E29" s="151" t="s">
        <v>80</v>
      </c>
      <c r="F29" s="253">
        <f>'Mem. Cálc.'!J54</f>
        <v>344.58</v>
      </c>
      <c r="G29" s="147">
        <f>CPU!I594</f>
        <v>11.21</v>
      </c>
      <c r="H29" s="148">
        <f t="shared" si="0"/>
        <v>3862.74</v>
      </c>
      <c r="K29" s="683"/>
      <c r="L29" s="683"/>
      <c r="M29" s="683"/>
      <c r="N29" s="683"/>
      <c r="O29" s="683"/>
      <c r="P29" s="154"/>
      <c r="Q29" s="154"/>
      <c r="R29" s="154"/>
    </row>
    <row r="30" spans="2:18" ht="60">
      <c r="B30" s="249" t="s">
        <v>640</v>
      </c>
      <c r="C30" s="145" t="s">
        <v>384</v>
      </c>
      <c r="D30" s="152" t="s">
        <v>567</v>
      </c>
      <c r="E30" s="151" t="s">
        <v>87</v>
      </c>
      <c r="F30" s="253">
        <f>'Mem. Cálc.'!J57</f>
        <v>46.2</v>
      </c>
      <c r="G30" s="157">
        <f>CPU!I647</f>
        <v>102.69</v>
      </c>
      <c r="H30" s="148">
        <f t="shared" si="0"/>
        <v>4744.28</v>
      </c>
      <c r="K30" s="338"/>
      <c r="L30" s="338"/>
      <c r="M30" s="338"/>
      <c r="N30" s="338"/>
      <c r="O30" s="338"/>
      <c r="P30" s="154"/>
      <c r="Q30" s="154"/>
      <c r="R30" s="154"/>
    </row>
    <row r="31" spans="2:18" ht="45">
      <c r="B31" s="249" t="s">
        <v>641</v>
      </c>
      <c r="C31" s="145" t="s">
        <v>178</v>
      </c>
      <c r="D31" s="152" t="s">
        <v>568</v>
      </c>
      <c r="E31" s="151" t="str">
        <f>E30</f>
        <v>m³</v>
      </c>
      <c r="F31" s="253">
        <f>'Mem. Cálc.'!J65</f>
        <v>6.14</v>
      </c>
      <c r="G31" s="147">
        <f>CPU!I421</f>
        <v>273.08</v>
      </c>
      <c r="H31" s="148">
        <f>G31*F31</f>
        <v>1676.71</v>
      </c>
      <c r="K31" s="338"/>
      <c r="L31" s="338"/>
      <c r="M31" s="338"/>
      <c r="N31" s="338"/>
      <c r="O31" s="338"/>
      <c r="P31" s="154"/>
      <c r="Q31" s="154"/>
      <c r="R31" s="154"/>
    </row>
    <row r="32" spans="2:18" ht="90">
      <c r="B32" s="249" t="s">
        <v>642</v>
      </c>
      <c r="C32" s="145" t="s">
        <v>434</v>
      </c>
      <c r="D32" s="335" t="s">
        <v>627</v>
      </c>
      <c r="E32" s="151" t="s">
        <v>80</v>
      </c>
      <c r="F32" s="253">
        <f>'Mem. Cálc.'!J69</f>
        <v>924</v>
      </c>
      <c r="G32" s="147">
        <f>CPU!I449</f>
        <v>54.11</v>
      </c>
      <c r="H32" s="336">
        <f>G32*F32</f>
        <v>49997.64</v>
      </c>
      <c r="K32" s="327"/>
      <c r="L32" s="327"/>
      <c r="M32" s="327"/>
      <c r="N32" s="327"/>
      <c r="O32" s="327"/>
      <c r="P32" s="154"/>
      <c r="Q32" s="154"/>
      <c r="R32" s="154"/>
    </row>
    <row r="33" spans="2:20" ht="60">
      <c r="B33" s="249" t="s">
        <v>643</v>
      </c>
      <c r="C33" s="145" t="s">
        <v>501</v>
      </c>
      <c r="D33" s="335" t="s">
        <v>626</v>
      </c>
      <c r="E33" s="151" t="s">
        <v>80</v>
      </c>
      <c r="F33" s="253">
        <f>'Mem. Cálc.'!J73</f>
        <v>924</v>
      </c>
      <c r="G33" s="147">
        <f>CPU!I476</f>
        <v>16.79</v>
      </c>
      <c r="H33" s="336">
        <f>G33*F33</f>
        <v>15513.96</v>
      </c>
      <c r="K33" s="327"/>
      <c r="L33" s="327"/>
      <c r="M33" s="327"/>
      <c r="N33" s="327"/>
      <c r="O33" s="327"/>
      <c r="P33" s="154"/>
      <c r="Q33" s="154"/>
      <c r="R33" s="154"/>
    </row>
    <row r="34" spans="2:20" ht="45">
      <c r="B34" s="249" t="s">
        <v>644</v>
      </c>
      <c r="C34" s="145" t="s">
        <v>435</v>
      </c>
      <c r="D34" s="335" t="s">
        <v>562</v>
      </c>
      <c r="E34" s="151" t="s">
        <v>87</v>
      </c>
      <c r="F34" s="253">
        <f>'Mem. Cálc.'!J83</f>
        <v>25.25</v>
      </c>
      <c r="G34" s="147">
        <f>CPU!I513</f>
        <v>565.91</v>
      </c>
      <c r="H34" s="336">
        <f>G34*F34</f>
        <v>14289.23</v>
      </c>
      <c r="K34" s="338"/>
      <c r="L34" s="338"/>
      <c r="M34" s="338"/>
      <c r="N34" s="338"/>
      <c r="O34" s="338"/>
      <c r="P34" s="154"/>
      <c r="Q34" s="681" t="s">
        <v>214</v>
      </c>
      <c r="R34" s="681"/>
      <c r="S34" s="681"/>
      <c r="T34" s="681"/>
    </row>
    <row r="35" spans="2:20" ht="45">
      <c r="B35" s="249" t="s">
        <v>645</v>
      </c>
      <c r="C35" s="145" t="s">
        <v>446</v>
      </c>
      <c r="D35" s="335" t="s">
        <v>625</v>
      </c>
      <c r="E35" s="151" t="s">
        <v>87</v>
      </c>
      <c r="F35" s="253">
        <f>'Mem. Cálc.'!J86</f>
        <v>19.3</v>
      </c>
      <c r="G35" s="157">
        <f>CPU!I421</f>
        <v>273.08</v>
      </c>
      <c r="H35" s="148">
        <f>G35*F35</f>
        <v>5270.44</v>
      </c>
      <c r="K35" s="338"/>
      <c r="L35" s="338"/>
      <c r="M35" s="338"/>
      <c r="N35" s="338"/>
      <c r="O35" s="338"/>
      <c r="P35" s="154"/>
      <c r="Q35" s="154"/>
      <c r="R35" s="154"/>
    </row>
    <row r="36" spans="2:20" ht="120">
      <c r="B36" s="249" t="s">
        <v>646</v>
      </c>
      <c r="C36" s="145" t="s">
        <v>385</v>
      </c>
      <c r="D36" s="152" t="s">
        <v>624</v>
      </c>
      <c r="E36" s="151" t="s">
        <v>80</v>
      </c>
      <c r="F36" s="253">
        <f>'Mem. Cálc.'!J89</f>
        <v>33</v>
      </c>
      <c r="G36" s="157">
        <f>CPU!I680</f>
        <v>68.739999999999995</v>
      </c>
      <c r="H36" s="148">
        <f t="shared" si="0"/>
        <v>2268.42</v>
      </c>
      <c r="K36" s="338"/>
      <c r="L36" s="338"/>
      <c r="M36" s="338"/>
      <c r="N36" s="338"/>
      <c r="O36" s="338"/>
      <c r="P36" s="154"/>
      <c r="Q36" s="154"/>
      <c r="R36" s="154"/>
    </row>
    <row r="37" spans="2:20" ht="45">
      <c r="B37" s="249" t="s">
        <v>647</v>
      </c>
      <c r="C37" s="145" t="s">
        <v>401</v>
      </c>
      <c r="D37" s="152" t="s">
        <v>572</v>
      </c>
      <c r="E37" s="151" t="s">
        <v>80</v>
      </c>
      <c r="F37" s="253">
        <f>'Mem. Cálc.'!J97</f>
        <v>331.08</v>
      </c>
      <c r="G37" s="157">
        <f>CPU!I739</f>
        <v>13.09</v>
      </c>
      <c r="H37" s="148">
        <f>G37*F37</f>
        <v>4333.84</v>
      </c>
      <c r="K37" s="338"/>
      <c r="L37" s="338"/>
      <c r="M37" s="338"/>
      <c r="N37" s="338"/>
      <c r="O37" s="338"/>
      <c r="P37" s="154"/>
      <c r="Q37" s="154"/>
      <c r="R37" s="154"/>
    </row>
    <row r="38" spans="2:20" ht="30">
      <c r="B38" s="249" t="s">
        <v>727</v>
      </c>
      <c r="C38" s="145" t="s">
        <v>534</v>
      </c>
      <c r="D38" s="152" t="s">
        <v>573</v>
      </c>
      <c r="E38" s="151" t="s">
        <v>80</v>
      </c>
      <c r="F38" s="409">
        <f>'Mem. Cálc.'!J102</f>
        <v>5.28</v>
      </c>
      <c r="G38" s="340">
        <f>CPU!I852</f>
        <v>8.2100000000000009</v>
      </c>
      <c r="H38" s="148">
        <f>G38*F38</f>
        <v>43.35</v>
      </c>
      <c r="K38" s="338"/>
      <c r="L38" s="338"/>
      <c r="M38" s="338"/>
      <c r="N38" s="338"/>
      <c r="O38" s="338"/>
      <c r="P38" s="154"/>
      <c r="Q38" s="154"/>
      <c r="R38" s="154"/>
    </row>
    <row r="39" spans="2:20" ht="60.75" thickBot="1">
      <c r="B39" s="249" t="s">
        <v>736</v>
      </c>
      <c r="C39" s="351" t="s">
        <v>405</v>
      </c>
      <c r="D39" s="352" t="s">
        <v>574</v>
      </c>
      <c r="E39" s="353" t="s">
        <v>71</v>
      </c>
      <c r="F39" s="354">
        <f>'Mem. Cálc.'!J108</f>
        <v>376.48</v>
      </c>
      <c r="G39" s="340">
        <f>CPU!I767</f>
        <v>4.9400000000000004</v>
      </c>
      <c r="H39" s="415">
        <f t="shared" si="0"/>
        <v>1859.81</v>
      </c>
      <c r="N39" s="154"/>
      <c r="O39" s="154"/>
      <c r="P39" s="154"/>
      <c r="Q39" s="154"/>
      <c r="R39" s="154"/>
    </row>
    <row r="40" spans="2:20" ht="19.5" thickBot="1">
      <c r="B40" s="416" t="s">
        <v>463</v>
      </c>
      <c r="C40" s="675" t="s">
        <v>569</v>
      </c>
      <c r="D40" s="676"/>
      <c r="E40" s="676"/>
      <c r="F40" s="676"/>
      <c r="G40" s="677"/>
      <c r="H40" s="417">
        <f>SUM(H41:H46)</f>
        <v>33985.870000000003</v>
      </c>
      <c r="N40" s="154"/>
      <c r="O40" s="154"/>
      <c r="P40" s="154"/>
      <c r="Q40" s="154"/>
      <c r="R40" s="154"/>
    </row>
    <row r="41" spans="2:20" ht="75">
      <c r="B41" s="249" t="s">
        <v>18</v>
      </c>
      <c r="C41" s="250" t="s">
        <v>406</v>
      </c>
      <c r="D41" s="251" t="s">
        <v>623</v>
      </c>
      <c r="E41" s="252" t="s">
        <v>80</v>
      </c>
      <c r="F41" s="253">
        <f>'Mem. Cálc.'!J114</f>
        <v>262.32</v>
      </c>
      <c r="G41" s="355">
        <f>CPU!I797</f>
        <v>106.69</v>
      </c>
      <c r="H41" s="254">
        <f t="shared" si="0"/>
        <v>27986.92</v>
      </c>
      <c r="N41" s="154"/>
      <c r="O41" s="154"/>
      <c r="P41" s="154"/>
      <c r="Q41" s="154"/>
      <c r="R41" s="154"/>
    </row>
    <row r="42" spans="2:20" ht="45">
      <c r="B42" s="249" t="s">
        <v>20</v>
      </c>
      <c r="C42" s="145" t="s">
        <v>421</v>
      </c>
      <c r="D42" s="152" t="s">
        <v>563</v>
      </c>
      <c r="E42" s="151" t="s">
        <v>71</v>
      </c>
      <c r="F42" s="253">
        <f>'Mem. Cálc.'!F117</f>
        <v>32.58</v>
      </c>
      <c r="G42" s="157">
        <f>CPU!I825</f>
        <v>62.79</v>
      </c>
      <c r="H42" s="148">
        <f t="shared" si="0"/>
        <v>2045.7</v>
      </c>
      <c r="N42" s="154"/>
      <c r="O42" s="154"/>
      <c r="P42" s="154"/>
      <c r="Q42" s="154"/>
      <c r="R42" s="154"/>
    </row>
    <row r="43" spans="2:20" ht="60">
      <c r="B43" s="249" t="s">
        <v>22</v>
      </c>
      <c r="C43" s="145" t="s">
        <v>422</v>
      </c>
      <c r="D43" s="152" t="s">
        <v>575</v>
      </c>
      <c r="E43" s="151" t="s">
        <v>80</v>
      </c>
      <c r="F43" s="253">
        <f>'Mem. Cálc.'!F120</f>
        <v>16.29</v>
      </c>
      <c r="G43" s="157">
        <f>CPU!I882</f>
        <v>22.69</v>
      </c>
      <c r="H43" s="148">
        <f t="shared" si="0"/>
        <v>369.62</v>
      </c>
      <c r="N43" s="154"/>
      <c r="O43" s="154"/>
      <c r="P43" s="154"/>
      <c r="Q43" s="154"/>
      <c r="R43" s="154"/>
    </row>
    <row r="44" spans="2:20" ht="75">
      <c r="B44" s="249" t="s">
        <v>24</v>
      </c>
      <c r="C44" s="145" t="s">
        <v>459</v>
      </c>
      <c r="D44" s="152" t="s">
        <v>622</v>
      </c>
      <c r="E44" s="151" t="s">
        <v>615</v>
      </c>
      <c r="F44" s="147">
        <v>1</v>
      </c>
      <c r="G44" s="157">
        <f>CPU!I917</f>
        <v>2000.44</v>
      </c>
      <c r="H44" s="148">
        <f>G44*F44</f>
        <v>2000.44</v>
      </c>
      <c r="N44" s="154"/>
      <c r="O44" s="154"/>
      <c r="P44" s="154"/>
      <c r="Q44" s="154"/>
      <c r="R44" s="154"/>
    </row>
    <row r="45" spans="2:20" ht="75">
      <c r="B45" s="249" t="s">
        <v>464</v>
      </c>
      <c r="C45" s="145" t="s">
        <v>460</v>
      </c>
      <c r="D45" s="152" t="s">
        <v>576</v>
      </c>
      <c r="E45" s="151" t="s">
        <v>615</v>
      </c>
      <c r="F45" s="147">
        <v>1</v>
      </c>
      <c r="G45" s="157">
        <f>CPU!I943</f>
        <v>1021.38</v>
      </c>
      <c r="H45" s="148">
        <f>G45*F45</f>
        <v>1021.38</v>
      </c>
      <c r="N45" s="154"/>
      <c r="O45" s="154"/>
      <c r="P45" s="154"/>
      <c r="Q45" s="154"/>
      <c r="R45" s="154"/>
    </row>
    <row r="46" spans="2:20" ht="60.75" thickBot="1">
      <c r="B46" s="249" t="s">
        <v>465</v>
      </c>
      <c r="C46" s="351" t="s">
        <v>459</v>
      </c>
      <c r="D46" s="414" t="s">
        <v>668</v>
      </c>
      <c r="E46" s="353" t="s">
        <v>615</v>
      </c>
      <c r="F46" s="339">
        <v>1</v>
      </c>
      <c r="G46" s="340">
        <f>CPU!I978</f>
        <v>561.80999999999995</v>
      </c>
      <c r="H46" s="415">
        <f>G46*F46</f>
        <v>561.80999999999995</v>
      </c>
      <c r="N46" s="154"/>
      <c r="O46" s="154"/>
      <c r="P46" s="154"/>
      <c r="Q46" s="154"/>
      <c r="R46" s="154"/>
    </row>
    <row r="47" spans="2:20" ht="19.5" thickBot="1">
      <c r="B47" s="416" t="s">
        <v>466</v>
      </c>
      <c r="C47" s="675" t="s">
        <v>570</v>
      </c>
      <c r="D47" s="676"/>
      <c r="E47" s="676"/>
      <c r="F47" s="676"/>
      <c r="G47" s="677"/>
      <c r="H47" s="417">
        <f>SUM(H48:H55)</f>
        <v>8364.94</v>
      </c>
      <c r="N47" s="154"/>
      <c r="O47" s="154"/>
      <c r="P47" s="154"/>
      <c r="Q47" s="154"/>
      <c r="R47" s="154"/>
    </row>
    <row r="48" spans="2:20" ht="45">
      <c r="B48" s="619" t="s">
        <v>469</v>
      </c>
      <c r="C48" s="620" t="s">
        <v>487</v>
      </c>
      <c r="D48" s="621" t="s">
        <v>577</v>
      </c>
      <c r="E48" s="622" t="s">
        <v>59</v>
      </c>
      <c r="F48" s="623">
        <f>8</f>
        <v>8</v>
      </c>
      <c r="G48" s="340">
        <f>CPU!I1202</f>
        <v>305.81</v>
      </c>
      <c r="H48" s="624">
        <f t="shared" ref="H48:H54" si="1">G48*F48</f>
        <v>2446.48</v>
      </c>
      <c r="N48" s="154"/>
      <c r="O48" s="154"/>
      <c r="P48" s="154"/>
      <c r="Q48" s="154"/>
      <c r="R48" s="154"/>
    </row>
    <row r="49" spans="2:18" ht="30">
      <c r="B49" s="633" t="s">
        <v>470</v>
      </c>
      <c r="C49" s="630" t="s">
        <v>477</v>
      </c>
      <c r="D49" s="631" t="s">
        <v>564</v>
      </c>
      <c r="E49" s="473" t="s">
        <v>71</v>
      </c>
      <c r="F49" s="474">
        <f>200</f>
        <v>200</v>
      </c>
      <c r="G49" s="632">
        <f>CPU!I1005</f>
        <v>4.6900000000000004</v>
      </c>
      <c r="H49" s="634">
        <f t="shared" si="1"/>
        <v>938</v>
      </c>
      <c r="N49" s="154"/>
      <c r="O49" s="154"/>
      <c r="P49" s="154"/>
      <c r="Q49" s="154"/>
      <c r="R49" s="154"/>
    </row>
    <row r="50" spans="2:18" ht="30">
      <c r="B50" s="633" t="s">
        <v>471</v>
      </c>
      <c r="C50" s="630" t="s">
        <v>551</v>
      </c>
      <c r="D50" s="631" t="s">
        <v>571</v>
      </c>
      <c r="E50" s="473" t="s">
        <v>71</v>
      </c>
      <c r="F50" s="474">
        <f>120</f>
        <v>120</v>
      </c>
      <c r="G50" s="632">
        <f>CPU!I1032</f>
        <v>11.49</v>
      </c>
      <c r="H50" s="634">
        <f t="shared" si="1"/>
        <v>1378.8</v>
      </c>
      <c r="N50" s="154"/>
      <c r="O50" s="154"/>
      <c r="P50" s="154"/>
      <c r="Q50" s="154"/>
      <c r="R50" s="154"/>
    </row>
    <row r="51" spans="2:18" ht="45">
      <c r="B51" s="633" t="s">
        <v>472</v>
      </c>
      <c r="C51" s="630" t="s">
        <v>555</v>
      </c>
      <c r="D51" s="631" t="s">
        <v>618</v>
      </c>
      <c r="E51" s="473" t="s">
        <v>59</v>
      </c>
      <c r="F51" s="474">
        <f>2</f>
        <v>2</v>
      </c>
      <c r="G51" s="632">
        <f>CPU!I1144</f>
        <v>63.09</v>
      </c>
      <c r="H51" s="634">
        <f t="shared" si="1"/>
        <v>126.18</v>
      </c>
      <c r="N51" s="154"/>
      <c r="O51" s="154"/>
      <c r="P51" s="154"/>
      <c r="Q51" s="154"/>
      <c r="R51" s="154"/>
    </row>
    <row r="52" spans="2:18" ht="75">
      <c r="B52" s="633" t="s">
        <v>473</v>
      </c>
      <c r="C52" s="630" t="s">
        <v>479</v>
      </c>
      <c r="D52" s="631" t="s">
        <v>621</v>
      </c>
      <c r="E52" s="473" t="s">
        <v>59</v>
      </c>
      <c r="F52" s="474">
        <f>1</f>
        <v>1</v>
      </c>
      <c r="G52" s="632">
        <f>CPU!I1059</f>
        <v>62.18</v>
      </c>
      <c r="H52" s="634">
        <f t="shared" si="1"/>
        <v>62.18</v>
      </c>
      <c r="N52" s="154"/>
      <c r="O52" s="154"/>
      <c r="P52" s="154"/>
      <c r="Q52" s="154"/>
      <c r="R52" s="154"/>
    </row>
    <row r="53" spans="2:18" ht="45">
      <c r="B53" s="633" t="s">
        <v>550</v>
      </c>
      <c r="C53" s="630" t="s">
        <v>482</v>
      </c>
      <c r="D53" s="631" t="s">
        <v>619</v>
      </c>
      <c r="E53" s="475" t="s">
        <v>59</v>
      </c>
      <c r="F53" s="474">
        <f>4</f>
        <v>4</v>
      </c>
      <c r="G53" s="632">
        <f>CPU!I1088</f>
        <v>70.08</v>
      </c>
      <c r="H53" s="634">
        <f t="shared" si="1"/>
        <v>280.32</v>
      </c>
      <c r="N53" s="154"/>
      <c r="O53" s="154"/>
      <c r="P53" s="154"/>
      <c r="Q53" s="154"/>
      <c r="R53" s="154"/>
    </row>
    <row r="54" spans="2:18" ht="45">
      <c r="B54" s="633" t="s">
        <v>554</v>
      </c>
      <c r="C54" s="630" t="s">
        <v>518</v>
      </c>
      <c r="D54" s="631" t="s">
        <v>620</v>
      </c>
      <c r="E54" s="475" t="s">
        <v>59</v>
      </c>
      <c r="F54" s="474">
        <v>5</v>
      </c>
      <c r="G54" s="632">
        <f>CPU!I1117</f>
        <v>477.71</v>
      </c>
      <c r="H54" s="634">
        <f t="shared" si="1"/>
        <v>2388.5500000000002</v>
      </c>
      <c r="N54" s="154"/>
      <c r="O54" s="154"/>
      <c r="P54" s="154"/>
      <c r="Q54" s="154"/>
      <c r="R54" s="154"/>
    </row>
    <row r="55" spans="2:18" ht="60.75" thickBot="1">
      <c r="B55" s="413" t="s">
        <v>732</v>
      </c>
      <c r="C55" s="625" t="s">
        <v>459</v>
      </c>
      <c r="D55" s="603" t="s">
        <v>749</v>
      </c>
      <c r="E55" s="626" t="s">
        <v>59</v>
      </c>
      <c r="F55" s="627">
        <v>1</v>
      </c>
      <c r="G55" s="628">
        <f>CPU!I1173</f>
        <v>744.43</v>
      </c>
      <c r="H55" s="629">
        <f t="shared" ref="H55" si="2">G55*F55</f>
        <v>744.43</v>
      </c>
      <c r="N55" s="154"/>
      <c r="O55" s="154"/>
      <c r="P55" s="154"/>
      <c r="Q55" s="154"/>
      <c r="R55" s="154"/>
    </row>
  </sheetData>
  <sheetProtection selectLockedCells="1" selectUnlockedCells="1"/>
  <mergeCells count="23">
    <mergeCell ref="C47:G47"/>
    <mergeCell ref="C40:G40"/>
    <mergeCell ref="B19:G19"/>
    <mergeCell ref="K27:M27"/>
    <mergeCell ref="Q34:T34"/>
    <mergeCell ref="K26:O26"/>
    <mergeCell ref="K29:O29"/>
    <mergeCell ref="K28:O28"/>
    <mergeCell ref="O13:R13"/>
    <mergeCell ref="C20:G20"/>
    <mergeCell ref="F11:F12"/>
    <mergeCell ref="G11:H11"/>
    <mergeCell ref="B8:H8"/>
    <mergeCell ref="B10:H10"/>
    <mergeCell ref="B7:H7"/>
    <mergeCell ref="E11:E12"/>
    <mergeCell ref="C13:G13"/>
    <mergeCell ref="B2:H5"/>
    <mergeCell ref="B11:B12"/>
    <mergeCell ref="C11:C12"/>
    <mergeCell ref="D11:D12"/>
    <mergeCell ref="B9:G9"/>
    <mergeCell ref="B6:H6"/>
  </mergeCells>
  <phoneticPr fontId="13" type="noConversion"/>
  <pageMargins left="0.39370078740157483" right="0.39370078740157483" top="0.39370078740157483" bottom="0.78740157480314965" header="0.51181102362204722" footer="0.51181102362204722"/>
  <pageSetup paperSize="9" scale="80" firstPageNumber="0" fitToWidth="0" fitToHeight="0" orientation="portrait" r:id="rId1"/>
  <headerFooter alignWithMargins="0">
    <oddFooter>&amp;CPágina &amp;P de &amp;N</oddFooter>
  </headerFooter>
  <drawing r:id="rId2"/>
</worksheet>
</file>

<file path=xl/worksheets/sheet2.xml><?xml version="1.0" encoding="utf-8"?>
<worksheet xmlns="http://schemas.openxmlformats.org/spreadsheetml/2006/main" xmlns:r="http://schemas.openxmlformats.org/officeDocument/2006/relationships">
  <dimension ref="B1:S1238"/>
  <sheetViews>
    <sheetView view="pageBreakPreview" zoomScale="90" zoomScaleNormal="100" zoomScaleSheetLayoutView="90" workbookViewId="0"/>
  </sheetViews>
  <sheetFormatPr defaultRowHeight="12.75"/>
  <cols>
    <col min="1" max="1" width="1.7109375" style="91" customWidth="1"/>
    <col min="2" max="2" width="54.7109375" style="91" customWidth="1"/>
    <col min="3" max="3" width="14.140625" style="94" customWidth="1"/>
    <col min="4" max="4" width="12.28515625" style="178" customWidth="1"/>
    <col min="5" max="5" width="7.85546875" style="91" customWidth="1"/>
    <col min="6" max="6" width="9.28515625" style="91" customWidth="1"/>
    <col min="7" max="7" width="11.42578125" style="91" customWidth="1"/>
    <col min="8" max="8" width="10.28515625" style="91" customWidth="1"/>
    <col min="9" max="9" width="11.42578125" style="95" customWidth="1"/>
    <col min="10" max="10" width="1.85546875" style="175" customWidth="1"/>
    <col min="11" max="11" width="15.140625" style="91" customWidth="1"/>
    <col min="12" max="12" width="12.28515625" style="91" customWidth="1"/>
    <col min="13" max="13" width="11.28515625" style="91" customWidth="1"/>
    <col min="14" max="16384" width="9.140625" style="91"/>
  </cols>
  <sheetData>
    <row r="1" spans="2:10" ht="13.5" thickBot="1"/>
    <row r="2" spans="2:10" s="141" customFormat="1">
      <c r="B2" s="644"/>
      <c r="C2" s="645"/>
      <c r="D2" s="645"/>
      <c r="E2" s="645"/>
      <c r="F2" s="645"/>
      <c r="G2" s="645"/>
      <c r="H2" s="645"/>
      <c r="I2" s="646"/>
    </row>
    <row r="3" spans="2:10" s="141" customFormat="1">
      <c r="B3" s="647"/>
      <c r="C3" s="648"/>
      <c r="D3" s="648"/>
      <c r="E3" s="648"/>
      <c r="F3" s="648"/>
      <c r="G3" s="648"/>
      <c r="H3" s="648"/>
      <c r="I3" s="649"/>
    </row>
    <row r="4" spans="2:10" s="141" customFormat="1">
      <c r="B4" s="647"/>
      <c r="C4" s="648"/>
      <c r="D4" s="648"/>
      <c r="E4" s="648"/>
      <c r="F4" s="648"/>
      <c r="G4" s="648"/>
      <c r="H4" s="648"/>
      <c r="I4" s="649"/>
    </row>
    <row r="5" spans="2:10" s="141" customFormat="1" ht="35.25" customHeight="1" thickBot="1">
      <c r="B5" s="650"/>
      <c r="C5" s="651"/>
      <c r="D5" s="651"/>
      <c r="E5" s="651"/>
      <c r="F5" s="651"/>
      <c r="G5" s="651"/>
      <c r="H5" s="651"/>
      <c r="I5" s="652"/>
    </row>
    <row r="6" spans="2:10" ht="30" customHeight="1" thickBot="1">
      <c r="B6" s="484" t="s">
        <v>43</v>
      </c>
      <c r="C6" s="484" t="s">
        <v>44</v>
      </c>
      <c r="D6" s="722" t="s">
        <v>45</v>
      </c>
      <c r="E6" s="722"/>
      <c r="F6" s="722"/>
      <c r="G6" s="722"/>
      <c r="H6" s="722"/>
      <c r="I6" s="723"/>
      <c r="J6" s="169"/>
    </row>
    <row r="7" spans="2:10" ht="30.75" customHeight="1">
      <c r="B7" s="712" t="s">
        <v>704</v>
      </c>
      <c r="C7" s="713"/>
      <c r="D7" s="713"/>
      <c r="E7" s="713"/>
      <c r="F7" s="713"/>
      <c r="G7" s="714"/>
      <c r="H7" s="701" t="s">
        <v>705</v>
      </c>
      <c r="I7" s="700"/>
      <c r="J7" s="49"/>
    </row>
    <row r="8" spans="2:10" ht="30" customHeight="1">
      <c r="B8" s="753" t="s">
        <v>215</v>
      </c>
      <c r="C8" s="754"/>
      <c r="D8" s="754"/>
      <c r="E8" s="754"/>
      <c r="F8" s="754"/>
      <c r="G8" s="772"/>
      <c r="H8" s="53" t="s">
        <v>66</v>
      </c>
      <c r="I8" s="385" t="s">
        <v>59</v>
      </c>
      <c r="J8" s="49"/>
    </row>
    <row r="9" spans="2:10" ht="30" customHeight="1">
      <c r="B9" s="686" t="s">
        <v>46</v>
      </c>
      <c r="C9" s="687"/>
      <c r="D9" s="687"/>
      <c r="E9" s="687"/>
      <c r="F9" s="687"/>
      <c r="G9" s="687"/>
      <c r="H9" s="687"/>
      <c r="I9" s="773"/>
      <c r="J9" s="132"/>
    </row>
    <row r="10" spans="2:10" s="92" customFormat="1" ht="28.5" customHeight="1">
      <c r="B10" s="210" t="s">
        <v>57</v>
      </c>
      <c r="C10" s="191" t="s">
        <v>47</v>
      </c>
      <c r="D10" s="192" t="s">
        <v>48</v>
      </c>
      <c r="E10" s="192" t="s">
        <v>49</v>
      </c>
      <c r="F10" s="192" t="s">
        <v>50</v>
      </c>
      <c r="G10" s="193" t="s">
        <v>51</v>
      </c>
      <c r="H10" s="194" t="s">
        <v>52</v>
      </c>
      <c r="I10" s="386" t="s">
        <v>53</v>
      </c>
      <c r="J10" s="170"/>
    </row>
    <row r="11" spans="2:10" ht="40.5" customHeight="1">
      <c r="B11" s="471" t="s">
        <v>216</v>
      </c>
      <c r="C11" s="195" t="s">
        <v>54</v>
      </c>
      <c r="D11" s="97">
        <f>190/80</f>
        <v>2.38</v>
      </c>
      <c r="E11" s="196"/>
      <c r="F11" s="197"/>
      <c r="G11" s="97">
        <f>Insumos!D52</f>
        <v>60.3</v>
      </c>
      <c r="H11" s="97"/>
      <c r="I11" s="168">
        <f>G11*D11</f>
        <v>143.51</v>
      </c>
      <c r="J11" s="49"/>
    </row>
    <row r="12" spans="2:10" ht="40.5" customHeight="1">
      <c r="B12" s="471" t="s">
        <v>744</v>
      </c>
      <c r="C12" s="195" t="s">
        <v>54</v>
      </c>
      <c r="D12" s="97">
        <f>190/80</f>
        <v>2.38</v>
      </c>
      <c r="E12" s="196"/>
      <c r="F12" s="197"/>
      <c r="G12" s="97">
        <f>Insumos!D133</f>
        <v>137.96</v>
      </c>
      <c r="H12" s="97"/>
      <c r="I12" s="168">
        <f>G12*D12</f>
        <v>328.34</v>
      </c>
      <c r="J12" s="49"/>
    </row>
    <row r="13" spans="2:10" ht="55.5" customHeight="1">
      <c r="B13" s="614" t="s">
        <v>724</v>
      </c>
      <c r="C13" s="195" t="s">
        <v>54</v>
      </c>
      <c r="D13" s="97">
        <f>190/80</f>
        <v>2.38</v>
      </c>
      <c r="E13" s="196"/>
      <c r="F13" s="197"/>
      <c r="G13" s="97">
        <f>Insumos!D142</f>
        <v>103.36</v>
      </c>
      <c r="H13" s="97"/>
      <c r="I13" s="168">
        <f>G13*D13</f>
        <v>246</v>
      </c>
      <c r="J13" s="49"/>
    </row>
    <row r="14" spans="2:10" s="93" customFormat="1" ht="30" customHeight="1">
      <c r="B14" s="614" t="s">
        <v>723</v>
      </c>
      <c r="C14" s="584" t="s">
        <v>54</v>
      </c>
      <c r="D14" s="97">
        <f t="shared" ref="D14:D17" si="0">190/80</f>
        <v>2.38</v>
      </c>
      <c r="E14" s="256"/>
      <c r="F14" s="256"/>
      <c r="G14" s="97"/>
      <c r="H14" s="97">
        <f>Insumos!D135</f>
        <v>42.65</v>
      </c>
      <c r="I14" s="168">
        <f>H14*D14</f>
        <v>101.51</v>
      </c>
      <c r="J14" s="49"/>
    </row>
    <row r="15" spans="2:10" s="93" customFormat="1" ht="30" customHeight="1">
      <c r="B15" s="614" t="s">
        <v>725</v>
      </c>
      <c r="C15" s="584" t="s">
        <v>54</v>
      </c>
      <c r="D15" s="97">
        <f t="shared" si="0"/>
        <v>2.38</v>
      </c>
      <c r="E15" s="256"/>
      <c r="F15" s="256"/>
      <c r="G15" s="97"/>
      <c r="H15" s="97">
        <f>Insumos!D137</f>
        <v>83.22</v>
      </c>
      <c r="I15" s="168">
        <f t="shared" ref="I15:I17" si="1">H15*D15</f>
        <v>198.06</v>
      </c>
      <c r="J15" s="49"/>
    </row>
    <row r="16" spans="2:10" s="93" customFormat="1" ht="30" customHeight="1">
      <c r="B16" s="614" t="s">
        <v>726</v>
      </c>
      <c r="C16" s="584" t="s">
        <v>54</v>
      </c>
      <c r="D16" s="97">
        <f t="shared" si="0"/>
        <v>2.38</v>
      </c>
      <c r="E16" s="256"/>
      <c r="F16" s="256"/>
      <c r="G16" s="97"/>
      <c r="H16" s="97">
        <f>Insumos!D139</f>
        <v>45.6</v>
      </c>
      <c r="I16" s="168">
        <f t="shared" si="1"/>
        <v>108.53</v>
      </c>
      <c r="J16" s="49"/>
    </row>
    <row r="17" spans="2:10" s="107" customFormat="1" ht="30" customHeight="1">
      <c r="B17" s="614" t="s">
        <v>722</v>
      </c>
      <c r="C17" s="584" t="s">
        <v>54</v>
      </c>
      <c r="D17" s="97">
        <f t="shared" si="0"/>
        <v>2.38</v>
      </c>
      <c r="E17" s="256"/>
      <c r="F17" s="256"/>
      <c r="G17" s="97"/>
      <c r="H17" s="97">
        <f>Insumos!D141</f>
        <v>5.24</v>
      </c>
      <c r="I17" s="168">
        <f t="shared" si="1"/>
        <v>12.47</v>
      </c>
      <c r="J17" s="49"/>
    </row>
    <row r="18" spans="2:10" s="434" customFormat="1" ht="30" customHeight="1">
      <c r="B18" s="684" t="s">
        <v>55</v>
      </c>
      <c r="C18" s="685"/>
      <c r="D18" s="685"/>
      <c r="E18" s="685"/>
      <c r="F18" s="685"/>
      <c r="G18" s="685"/>
      <c r="H18" s="685"/>
      <c r="I18" s="168">
        <f>SUM(I11:I17)</f>
        <v>1138.42</v>
      </c>
      <c r="J18" s="49"/>
    </row>
    <row r="19" spans="2:10" s="434" customFormat="1" ht="30" customHeight="1">
      <c r="B19" s="686" t="s">
        <v>56</v>
      </c>
      <c r="C19" s="687"/>
      <c r="D19" s="687"/>
      <c r="E19" s="687"/>
      <c r="F19" s="687"/>
      <c r="G19" s="687"/>
      <c r="H19" s="687"/>
      <c r="I19" s="688"/>
      <c r="J19" s="132"/>
    </row>
    <row r="20" spans="2:10" s="434" customFormat="1" ht="30" customHeight="1">
      <c r="B20" s="211" t="s">
        <v>57</v>
      </c>
      <c r="C20" s="195" t="s">
        <v>47</v>
      </c>
      <c r="D20" s="197" t="s">
        <v>48</v>
      </c>
      <c r="E20" s="468"/>
      <c r="F20" s="468"/>
      <c r="G20" s="468"/>
      <c r="H20" s="202" t="s">
        <v>58</v>
      </c>
      <c r="I20" s="385" t="s">
        <v>53</v>
      </c>
      <c r="J20" s="49"/>
    </row>
    <row r="21" spans="2:10" s="434" customFormat="1" ht="30" customHeight="1">
      <c r="B21" s="560" t="s">
        <v>746</v>
      </c>
      <c r="C21" s="195" t="s">
        <v>59</v>
      </c>
      <c r="D21" s="97">
        <v>14</v>
      </c>
      <c r="E21" s="468"/>
      <c r="F21" s="468"/>
      <c r="G21" s="468"/>
      <c r="H21" s="195">
        <f>Insumos!D132</f>
        <v>16.829999999999998</v>
      </c>
      <c r="I21" s="168">
        <f>D21*H21</f>
        <v>235.62</v>
      </c>
      <c r="J21" s="49"/>
    </row>
    <row r="22" spans="2:10" s="434" customFormat="1" ht="30" customHeight="1">
      <c r="B22" s="560"/>
      <c r="C22" s="195"/>
      <c r="D22" s="97"/>
      <c r="E22" s="468"/>
      <c r="F22" s="468"/>
      <c r="G22" s="468"/>
      <c r="H22" s="195"/>
      <c r="I22" s="168">
        <f>D22*H22</f>
        <v>0</v>
      </c>
      <c r="J22" s="49"/>
    </row>
    <row r="23" spans="2:10" s="434" customFormat="1" ht="30" customHeight="1">
      <c r="B23" s="684" t="s">
        <v>55</v>
      </c>
      <c r="C23" s="685"/>
      <c r="D23" s="685"/>
      <c r="E23" s="685"/>
      <c r="F23" s="685"/>
      <c r="G23" s="685"/>
      <c r="H23" s="685"/>
      <c r="I23" s="168">
        <f>SUM(I21:I22)</f>
        <v>235.62</v>
      </c>
      <c r="J23" s="49"/>
    </row>
    <row r="24" spans="2:10" s="434" customFormat="1" ht="30" customHeight="1">
      <c r="B24" s="686" t="s">
        <v>60</v>
      </c>
      <c r="C24" s="687"/>
      <c r="D24" s="687"/>
      <c r="E24" s="687"/>
      <c r="F24" s="687"/>
      <c r="G24" s="687"/>
      <c r="H24" s="687"/>
      <c r="I24" s="688"/>
      <c r="J24" s="132"/>
    </row>
    <row r="25" spans="2:10" s="434" customFormat="1" ht="30" customHeight="1">
      <c r="B25" s="211" t="s">
        <v>57</v>
      </c>
      <c r="C25" s="56" t="s">
        <v>47</v>
      </c>
      <c r="D25" s="202" t="s">
        <v>48</v>
      </c>
      <c r="E25" s="198"/>
      <c r="F25" s="198"/>
      <c r="G25" s="198"/>
      <c r="H25" s="202" t="s">
        <v>58</v>
      </c>
      <c r="I25" s="385" t="s">
        <v>53</v>
      </c>
      <c r="J25" s="49"/>
    </row>
    <row r="26" spans="2:10" s="434" customFormat="1" ht="30" customHeight="1">
      <c r="B26" s="561"/>
      <c r="C26" s="195"/>
      <c r="D26" s="203"/>
      <c r="E26" s="198"/>
      <c r="F26" s="198"/>
      <c r="G26" s="198"/>
      <c r="H26" s="195"/>
      <c r="I26" s="168">
        <f>D26*H26</f>
        <v>0</v>
      </c>
      <c r="J26" s="49"/>
    </row>
    <row r="27" spans="2:10" s="434" customFormat="1" ht="30" customHeight="1">
      <c r="B27" s="684" t="s">
        <v>55</v>
      </c>
      <c r="C27" s="685"/>
      <c r="D27" s="685"/>
      <c r="E27" s="685"/>
      <c r="F27" s="685"/>
      <c r="G27" s="685"/>
      <c r="H27" s="685"/>
      <c r="I27" s="168">
        <f>SUM(I26:I26)</f>
        <v>0</v>
      </c>
      <c r="J27" s="49"/>
    </row>
    <row r="28" spans="2:10" s="434" customFormat="1" ht="30" customHeight="1">
      <c r="B28" s="686" t="s">
        <v>61</v>
      </c>
      <c r="C28" s="687"/>
      <c r="D28" s="687"/>
      <c r="E28" s="687"/>
      <c r="F28" s="687"/>
      <c r="G28" s="687"/>
      <c r="H28" s="687"/>
      <c r="I28" s="688"/>
      <c r="J28" s="132"/>
    </row>
    <row r="29" spans="2:10" s="434" customFormat="1" ht="30" customHeight="1">
      <c r="B29" s="211" t="s">
        <v>57</v>
      </c>
      <c r="C29" s="195" t="s">
        <v>47</v>
      </c>
      <c r="D29" s="197" t="s">
        <v>48</v>
      </c>
      <c r="E29" s="468"/>
      <c r="F29" s="468"/>
      <c r="G29" s="468"/>
      <c r="H29" s="202" t="s">
        <v>58</v>
      </c>
      <c r="I29" s="385" t="s">
        <v>53</v>
      </c>
      <c r="J29" s="49"/>
    </row>
    <row r="30" spans="2:10" s="434" customFormat="1" ht="30" customHeight="1">
      <c r="B30" s="560"/>
      <c r="C30" s="195"/>
      <c r="D30" s="196"/>
      <c r="E30" s="468"/>
      <c r="F30" s="468"/>
      <c r="G30" s="468"/>
      <c r="H30" s="195"/>
      <c r="I30" s="168">
        <f>D30*H30</f>
        <v>0</v>
      </c>
      <c r="J30" s="49"/>
    </row>
    <row r="31" spans="2:10" s="434" customFormat="1" ht="30" customHeight="1">
      <c r="B31" s="560"/>
      <c r="C31" s="195"/>
      <c r="D31" s="196"/>
      <c r="E31" s="468"/>
      <c r="F31" s="468"/>
      <c r="G31" s="468"/>
      <c r="H31" s="195"/>
      <c r="I31" s="168">
        <f>D31*H31</f>
        <v>0</v>
      </c>
      <c r="J31" s="49"/>
    </row>
    <row r="32" spans="2:10" s="434" customFormat="1" ht="30" customHeight="1">
      <c r="B32" s="689" t="s">
        <v>55</v>
      </c>
      <c r="C32" s="690"/>
      <c r="D32" s="690"/>
      <c r="E32" s="690"/>
      <c r="F32" s="690"/>
      <c r="G32" s="690"/>
      <c r="H32" s="690"/>
      <c r="I32" s="163">
        <f>SUM(I30:I31)</f>
        <v>0</v>
      </c>
      <c r="J32" s="60"/>
    </row>
    <row r="33" spans="2:10" s="434" customFormat="1" ht="30" customHeight="1">
      <c r="B33" s="99" t="s">
        <v>62</v>
      </c>
      <c r="C33" s="54">
        <v>1</v>
      </c>
      <c r="D33" s="690" t="s">
        <v>63</v>
      </c>
      <c r="E33" s="690"/>
      <c r="F33" s="690"/>
      <c r="G33" s="690"/>
      <c r="H33" s="690"/>
      <c r="I33" s="163">
        <f>I32+I27+I23+I18</f>
        <v>1374.04</v>
      </c>
      <c r="J33" s="60"/>
    </row>
    <row r="34" spans="2:10" s="434" customFormat="1" ht="30" customHeight="1">
      <c r="B34" s="716" t="s">
        <v>77</v>
      </c>
      <c r="C34" s="717"/>
      <c r="D34" s="717"/>
      <c r="E34" s="717"/>
      <c r="F34" s="717"/>
      <c r="G34" s="717"/>
      <c r="H34" s="717"/>
      <c r="I34" s="100">
        <f>I33/C33</f>
        <v>1374.04</v>
      </c>
      <c r="J34" s="60"/>
    </row>
    <row r="35" spans="2:10" s="434" customFormat="1" ht="30" customHeight="1">
      <c r="B35" s="101" t="s">
        <v>113</v>
      </c>
      <c r="C35" s="129">
        <v>25</v>
      </c>
      <c r="D35" s="720" t="s">
        <v>5</v>
      </c>
      <c r="E35" s="720"/>
      <c r="F35" s="720"/>
      <c r="G35" s="720"/>
      <c r="H35" s="720"/>
      <c r="I35" s="102">
        <f>C35/100*I34</f>
        <v>343.51</v>
      </c>
      <c r="J35" s="60"/>
    </row>
    <row r="36" spans="2:10" s="434" customFormat="1" ht="30" customHeight="1" thickBot="1">
      <c r="B36" s="702" t="s">
        <v>64</v>
      </c>
      <c r="C36" s="703"/>
      <c r="D36" s="703"/>
      <c r="E36" s="703"/>
      <c r="F36" s="703"/>
      <c r="G36" s="703"/>
      <c r="H36" s="703"/>
      <c r="I36" s="188">
        <f>I35+I34</f>
        <v>1717.55</v>
      </c>
      <c r="J36" s="49"/>
    </row>
    <row r="37" spans="2:10" s="93" customFormat="1">
      <c r="B37" s="48"/>
      <c r="C37" s="48"/>
      <c r="D37" s="176"/>
      <c r="E37" s="48"/>
      <c r="F37" s="48"/>
      <c r="G37" s="48"/>
      <c r="H37" s="48"/>
      <c r="I37" s="49"/>
      <c r="J37" s="49"/>
    </row>
    <row r="38" spans="2:10" s="93" customFormat="1">
      <c r="B38" s="48"/>
      <c r="C38" s="48"/>
      <c r="D38" s="176"/>
      <c r="E38" s="48"/>
      <c r="F38" s="48"/>
      <c r="G38" s="48"/>
      <c r="H38" s="48"/>
      <c r="I38" s="49"/>
      <c r="J38" s="49"/>
    </row>
    <row r="39" spans="2:10" s="93" customFormat="1" ht="13.5" thickBot="1">
      <c r="B39" s="48"/>
      <c r="C39" s="48"/>
      <c r="D39" s="176"/>
      <c r="E39" s="48"/>
      <c r="F39" s="48"/>
      <c r="G39" s="48"/>
      <c r="H39" s="48"/>
      <c r="I39" s="49"/>
      <c r="J39" s="49"/>
    </row>
    <row r="40" spans="2:10" s="93" customFormat="1" ht="30" customHeight="1" thickBot="1">
      <c r="B40" s="484" t="s">
        <v>43</v>
      </c>
      <c r="C40" s="484" t="s">
        <v>65</v>
      </c>
      <c r="D40" s="722" t="s">
        <v>45</v>
      </c>
      <c r="E40" s="722"/>
      <c r="F40" s="722"/>
      <c r="G40" s="722"/>
      <c r="H40" s="722"/>
      <c r="I40" s="723"/>
      <c r="J40" s="169"/>
    </row>
    <row r="41" spans="2:10" s="93" customFormat="1" ht="30" customHeight="1">
      <c r="B41" s="712" t="s">
        <v>704</v>
      </c>
      <c r="C41" s="713"/>
      <c r="D41" s="713"/>
      <c r="E41" s="713"/>
      <c r="F41" s="713"/>
      <c r="G41" s="714"/>
      <c r="H41" s="701" t="s">
        <v>705</v>
      </c>
      <c r="I41" s="700"/>
      <c r="J41" s="49"/>
    </row>
    <row r="42" spans="2:10" s="93" customFormat="1" ht="30" customHeight="1">
      <c r="B42" s="782" t="s">
        <v>594</v>
      </c>
      <c r="C42" s="783"/>
      <c r="D42" s="783"/>
      <c r="E42" s="783"/>
      <c r="F42" s="783"/>
      <c r="G42" s="784"/>
      <c r="H42" s="53" t="s">
        <v>66</v>
      </c>
      <c r="I42" s="187" t="s">
        <v>67</v>
      </c>
      <c r="J42" s="171"/>
    </row>
    <row r="43" spans="2:10" s="93" customFormat="1" ht="30" customHeight="1">
      <c r="B43" s="779" t="s">
        <v>46</v>
      </c>
      <c r="C43" s="780"/>
      <c r="D43" s="780"/>
      <c r="E43" s="780"/>
      <c r="F43" s="780"/>
      <c r="G43" s="780"/>
      <c r="H43" s="780"/>
      <c r="I43" s="781"/>
      <c r="J43" s="172"/>
    </row>
    <row r="44" spans="2:10" s="107" customFormat="1" ht="30" customHeight="1">
      <c r="B44" s="205" t="s">
        <v>57</v>
      </c>
      <c r="C44" s="58" t="s">
        <v>68</v>
      </c>
      <c r="D44" s="58" t="s">
        <v>48</v>
      </c>
      <c r="E44" s="58" t="s">
        <v>49</v>
      </c>
      <c r="F44" s="58" t="s">
        <v>50</v>
      </c>
      <c r="G44" s="120" t="s">
        <v>51</v>
      </c>
      <c r="H44" s="115" t="s">
        <v>52</v>
      </c>
      <c r="I44" s="187" t="s">
        <v>53</v>
      </c>
      <c r="J44" s="470"/>
    </row>
    <row r="45" spans="2:10" s="107" customFormat="1" ht="30" customHeight="1">
      <c r="B45" s="554"/>
      <c r="C45" s="555"/>
      <c r="D45" s="556"/>
      <c r="E45" s="555"/>
      <c r="F45" s="555"/>
      <c r="G45" s="555"/>
      <c r="H45" s="557"/>
      <c r="I45" s="501"/>
      <c r="J45" s="470"/>
    </row>
    <row r="46" spans="2:10" s="107" customFormat="1" ht="30" customHeight="1">
      <c r="B46" s="779" t="s">
        <v>56</v>
      </c>
      <c r="C46" s="780"/>
      <c r="D46" s="780"/>
      <c r="E46" s="780"/>
      <c r="F46" s="780"/>
      <c r="G46" s="780"/>
      <c r="H46" s="780"/>
      <c r="I46" s="781"/>
      <c r="J46" s="172"/>
    </row>
    <row r="47" spans="2:10" s="107" customFormat="1" ht="30" customHeight="1">
      <c r="B47" s="205" t="s">
        <v>57</v>
      </c>
      <c r="C47" s="58" t="s">
        <v>68</v>
      </c>
      <c r="D47" s="58" t="s">
        <v>48</v>
      </c>
      <c r="E47" s="58"/>
      <c r="F47" s="58"/>
      <c r="G47" s="58"/>
      <c r="H47" s="53" t="s">
        <v>58</v>
      </c>
      <c r="I47" s="187" t="s">
        <v>53</v>
      </c>
      <c r="J47" s="470"/>
    </row>
    <row r="48" spans="2:10" s="107" customFormat="1" ht="30" customHeight="1">
      <c r="B48" s="558" t="s">
        <v>69</v>
      </c>
      <c r="C48" s="58" t="s">
        <v>80</v>
      </c>
      <c r="D48" s="559">
        <v>1</v>
      </c>
      <c r="E48" s="58"/>
      <c r="F48" s="58"/>
      <c r="G48" s="58"/>
      <c r="H48" s="53">
        <f>Insumos!D88</f>
        <v>225.6</v>
      </c>
      <c r="I48" s="100">
        <f>D48*H48</f>
        <v>225.6</v>
      </c>
      <c r="J48" s="173"/>
    </row>
    <row r="49" spans="2:10" s="107" customFormat="1" ht="30" customHeight="1">
      <c r="B49" s="558" t="s">
        <v>70</v>
      </c>
      <c r="C49" s="58" t="s">
        <v>71</v>
      </c>
      <c r="D49" s="559">
        <v>1</v>
      </c>
      <c r="E49" s="58"/>
      <c r="F49" s="58"/>
      <c r="G49" s="58"/>
      <c r="H49" s="53">
        <f>Insumos!D89</f>
        <v>3.69</v>
      </c>
      <c r="I49" s="100">
        <f>D49*H49</f>
        <v>3.69</v>
      </c>
      <c r="J49" s="173"/>
    </row>
    <row r="50" spans="2:10" s="107" customFormat="1" ht="30" customHeight="1">
      <c r="B50" s="558" t="s">
        <v>72</v>
      </c>
      <c r="C50" s="58" t="s">
        <v>71</v>
      </c>
      <c r="D50" s="559">
        <v>8.4</v>
      </c>
      <c r="E50" s="58"/>
      <c r="F50" s="58"/>
      <c r="G50" s="58"/>
      <c r="H50" s="53">
        <f>Insumos!D90</f>
        <v>5.26</v>
      </c>
      <c r="I50" s="100">
        <f>D50*H50</f>
        <v>44.18</v>
      </c>
      <c r="J50" s="173"/>
    </row>
    <row r="51" spans="2:10" s="107" customFormat="1" ht="30" customHeight="1">
      <c r="B51" s="558" t="s">
        <v>73</v>
      </c>
      <c r="C51" s="58" t="s">
        <v>74</v>
      </c>
      <c r="D51" s="559">
        <v>0.1</v>
      </c>
      <c r="E51" s="58"/>
      <c r="F51" s="58"/>
      <c r="G51" s="58"/>
      <c r="H51" s="53">
        <f>Insumos!D54</f>
        <v>6.51</v>
      </c>
      <c r="I51" s="100">
        <f>D51*H51</f>
        <v>0.65</v>
      </c>
      <c r="J51" s="173"/>
    </row>
    <row r="52" spans="2:10" s="107" customFormat="1" ht="30" customHeight="1">
      <c r="B52" s="774" t="s">
        <v>55</v>
      </c>
      <c r="C52" s="775"/>
      <c r="D52" s="775"/>
      <c r="E52" s="775"/>
      <c r="F52" s="775"/>
      <c r="G52" s="775"/>
      <c r="H52" s="775"/>
      <c r="I52" s="164">
        <f>SUM(I48:I51)</f>
        <v>274.12</v>
      </c>
      <c r="J52" s="140"/>
    </row>
    <row r="53" spans="2:10" s="107" customFormat="1" ht="30" customHeight="1">
      <c r="B53" s="779" t="s">
        <v>60</v>
      </c>
      <c r="C53" s="780"/>
      <c r="D53" s="780"/>
      <c r="E53" s="780"/>
      <c r="F53" s="780"/>
      <c r="G53" s="780"/>
      <c r="H53" s="780"/>
      <c r="I53" s="781"/>
      <c r="J53" s="172"/>
    </row>
    <row r="54" spans="2:10" s="107" customFormat="1" ht="30" customHeight="1">
      <c r="B54" s="205" t="s">
        <v>57</v>
      </c>
      <c r="C54" s="58" t="s">
        <v>68</v>
      </c>
      <c r="D54" s="58" t="s">
        <v>48</v>
      </c>
      <c r="E54" s="469"/>
      <c r="F54" s="469"/>
      <c r="G54" s="469"/>
      <c r="H54" s="53" t="s">
        <v>58</v>
      </c>
      <c r="I54" s="187" t="s">
        <v>53</v>
      </c>
      <c r="J54" s="470"/>
    </row>
    <row r="55" spans="2:10" s="107" customFormat="1" ht="30" customHeight="1">
      <c r="B55" s="558"/>
      <c r="C55" s="469"/>
      <c r="D55" s="58"/>
      <c r="E55" s="469"/>
      <c r="F55" s="469"/>
      <c r="G55" s="469"/>
      <c r="H55" s="54"/>
      <c r="I55" s="164">
        <v>0</v>
      </c>
      <c r="J55" s="470"/>
    </row>
    <row r="56" spans="2:10" s="107" customFormat="1" ht="30" customHeight="1">
      <c r="B56" s="558" t="s">
        <v>55</v>
      </c>
      <c r="C56" s="469"/>
      <c r="D56" s="58"/>
      <c r="E56" s="469"/>
      <c r="F56" s="469"/>
      <c r="G56" s="469"/>
      <c r="H56" s="54"/>
      <c r="I56" s="164">
        <v>0</v>
      </c>
      <c r="J56" s="470"/>
    </row>
    <row r="57" spans="2:10" s="107" customFormat="1" ht="30" customHeight="1">
      <c r="B57" s="779" t="s">
        <v>61</v>
      </c>
      <c r="C57" s="780"/>
      <c r="D57" s="780"/>
      <c r="E57" s="780"/>
      <c r="F57" s="780"/>
      <c r="G57" s="780"/>
      <c r="H57" s="780"/>
      <c r="I57" s="781"/>
      <c r="J57" s="172"/>
    </row>
    <row r="58" spans="2:10" s="107" customFormat="1" ht="30" customHeight="1">
      <c r="B58" s="205" t="s">
        <v>57</v>
      </c>
      <c r="C58" s="58" t="s">
        <v>68</v>
      </c>
      <c r="D58" s="58" t="s">
        <v>48</v>
      </c>
      <c r="E58" s="469"/>
      <c r="F58" s="469"/>
      <c r="G58" s="469"/>
      <c r="H58" s="53" t="s">
        <v>58</v>
      </c>
      <c r="I58" s="187" t="s">
        <v>53</v>
      </c>
      <c r="J58" s="470"/>
    </row>
    <row r="59" spans="2:10" s="107" customFormat="1" ht="30" customHeight="1">
      <c r="B59" s="558" t="s">
        <v>75</v>
      </c>
      <c r="C59" s="58" t="s">
        <v>54</v>
      </c>
      <c r="D59" s="55">
        <v>3.8</v>
      </c>
      <c r="E59" s="58"/>
      <c r="F59" s="58"/>
      <c r="G59" s="58"/>
      <c r="H59" s="53">
        <f>Insumos!D16</f>
        <v>8.69</v>
      </c>
      <c r="I59" s="100">
        <f>D59*H59</f>
        <v>33.020000000000003</v>
      </c>
      <c r="J59" s="173"/>
    </row>
    <row r="60" spans="2:10" s="107" customFormat="1" ht="30" customHeight="1">
      <c r="B60" s="558" t="s">
        <v>76</v>
      </c>
      <c r="C60" s="58" t="s">
        <v>54</v>
      </c>
      <c r="D60" s="55">
        <v>3.8</v>
      </c>
      <c r="E60" s="58"/>
      <c r="F60" s="58"/>
      <c r="G60" s="58"/>
      <c r="H60" s="53">
        <f>Insumos!D24</f>
        <v>6.53</v>
      </c>
      <c r="I60" s="100">
        <f>D60*H60</f>
        <v>24.81</v>
      </c>
      <c r="J60" s="173"/>
    </row>
    <row r="61" spans="2:10" s="107" customFormat="1" ht="30" customHeight="1">
      <c r="B61" s="763" t="s">
        <v>55</v>
      </c>
      <c r="C61" s="764"/>
      <c r="D61" s="764"/>
      <c r="E61" s="764"/>
      <c r="F61" s="764"/>
      <c r="G61" s="764"/>
      <c r="H61" s="765"/>
      <c r="I61" s="163">
        <f>SUM(I59:I60)</f>
        <v>57.83</v>
      </c>
      <c r="J61" s="60"/>
    </row>
    <row r="62" spans="2:10" s="107" customFormat="1" ht="30" customHeight="1">
      <c r="B62" s="99" t="s">
        <v>62</v>
      </c>
      <c r="C62" s="54">
        <v>1</v>
      </c>
      <c r="D62" s="766" t="s">
        <v>63</v>
      </c>
      <c r="E62" s="725"/>
      <c r="F62" s="725"/>
      <c r="G62" s="725"/>
      <c r="H62" s="726"/>
      <c r="I62" s="163">
        <f>I61+I56+I52</f>
        <v>331.95</v>
      </c>
      <c r="J62" s="60"/>
    </row>
    <row r="63" spans="2:10" s="107" customFormat="1" ht="30" customHeight="1">
      <c r="B63" s="767" t="s">
        <v>77</v>
      </c>
      <c r="C63" s="734"/>
      <c r="D63" s="734"/>
      <c r="E63" s="734"/>
      <c r="F63" s="734"/>
      <c r="G63" s="734"/>
      <c r="H63" s="735"/>
      <c r="I63" s="100">
        <f>I62/C62</f>
        <v>331.95</v>
      </c>
      <c r="J63" s="60"/>
    </row>
    <row r="64" spans="2:10" s="107" customFormat="1" ht="30" customHeight="1">
      <c r="B64" s="101" t="s">
        <v>113</v>
      </c>
      <c r="C64" s="129">
        <v>25</v>
      </c>
      <c r="D64" s="768" t="s">
        <v>5</v>
      </c>
      <c r="E64" s="734"/>
      <c r="F64" s="734"/>
      <c r="G64" s="734"/>
      <c r="H64" s="735"/>
      <c r="I64" s="102">
        <f>C64/100*I63</f>
        <v>82.99</v>
      </c>
      <c r="J64" s="60"/>
    </row>
    <row r="65" spans="2:10" s="107" customFormat="1" ht="30" customHeight="1" thickBot="1">
      <c r="B65" s="776" t="s">
        <v>64</v>
      </c>
      <c r="C65" s="777"/>
      <c r="D65" s="777"/>
      <c r="E65" s="777"/>
      <c r="F65" s="777"/>
      <c r="G65" s="777"/>
      <c r="H65" s="778"/>
      <c r="I65" s="188">
        <f>I64+I63</f>
        <v>414.94</v>
      </c>
      <c r="J65" s="49"/>
    </row>
    <row r="66" spans="2:10" s="93" customFormat="1">
      <c r="B66" s="48"/>
      <c r="C66" s="48"/>
      <c r="D66" s="176"/>
      <c r="E66" s="48"/>
      <c r="F66" s="48"/>
      <c r="G66" s="48"/>
      <c r="H66" s="48"/>
      <c r="I66" s="49"/>
      <c r="J66" s="49"/>
    </row>
    <row r="67" spans="2:10" s="93" customFormat="1">
      <c r="B67" s="48"/>
      <c r="C67" s="48"/>
      <c r="D67" s="176"/>
      <c r="E67" s="48"/>
      <c r="F67" s="48"/>
      <c r="G67" s="48"/>
      <c r="H67" s="48"/>
      <c r="I67" s="49"/>
      <c r="J67" s="49"/>
    </row>
    <row r="68" spans="2:10" s="93" customFormat="1" ht="13.5" thickBot="1">
      <c r="B68" s="48"/>
      <c r="C68" s="48"/>
      <c r="D68" s="176"/>
      <c r="E68" s="48"/>
      <c r="F68" s="48"/>
      <c r="G68" s="48"/>
      <c r="H68" s="48"/>
      <c r="I68" s="49"/>
      <c r="J68" s="49"/>
    </row>
    <row r="69" spans="2:10" ht="30" customHeight="1" thickBot="1">
      <c r="B69" s="484" t="s">
        <v>43</v>
      </c>
      <c r="C69" s="484" t="s">
        <v>78</v>
      </c>
      <c r="D69" s="722" t="s">
        <v>45</v>
      </c>
      <c r="E69" s="722"/>
      <c r="F69" s="722"/>
      <c r="G69" s="722"/>
      <c r="H69" s="722"/>
      <c r="I69" s="723"/>
      <c r="J69" s="169"/>
    </row>
    <row r="70" spans="2:10" ht="30" customHeight="1">
      <c r="B70" s="712" t="s">
        <v>704</v>
      </c>
      <c r="C70" s="713"/>
      <c r="D70" s="713"/>
      <c r="E70" s="713"/>
      <c r="F70" s="713"/>
      <c r="G70" s="714"/>
      <c r="H70" s="701" t="s">
        <v>705</v>
      </c>
      <c r="I70" s="700"/>
      <c r="J70" s="49"/>
    </row>
    <row r="71" spans="2:10" ht="30" customHeight="1">
      <c r="B71" s="753" t="s">
        <v>217</v>
      </c>
      <c r="C71" s="754"/>
      <c r="D71" s="754"/>
      <c r="E71" s="754"/>
      <c r="F71" s="754"/>
      <c r="G71" s="772"/>
      <c r="H71" s="53" t="s">
        <v>66</v>
      </c>
      <c r="I71" s="385" t="s">
        <v>59</v>
      </c>
      <c r="J71" s="49"/>
    </row>
    <row r="72" spans="2:10" ht="30" customHeight="1">
      <c r="B72" s="686" t="s">
        <v>46</v>
      </c>
      <c r="C72" s="687"/>
      <c r="D72" s="687"/>
      <c r="E72" s="687"/>
      <c r="F72" s="687"/>
      <c r="G72" s="687"/>
      <c r="H72" s="687"/>
      <c r="I72" s="773"/>
      <c r="J72" s="132"/>
    </row>
    <row r="73" spans="2:10" ht="30" customHeight="1">
      <c r="B73" s="210" t="s">
        <v>57</v>
      </c>
      <c r="C73" s="191" t="s">
        <v>47</v>
      </c>
      <c r="D73" s="192" t="s">
        <v>48</v>
      </c>
      <c r="E73" s="192" t="s">
        <v>49</v>
      </c>
      <c r="F73" s="192" t="s">
        <v>50</v>
      </c>
      <c r="G73" s="193" t="s">
        <v>51</v>
      </c>
      <c r="H73" s="194" t="s">
        <v>52</v>
      </c>
      <c r="I73" s="386" t="s">
        <v>53</v>
      </c>
      <c r="J73" s="170"/>
    </row>
    <row r="74" spans="2:10" ht="38.25">
      <c r="B74" s="471" t="s">
        <v>216</v>
      </c>
      <c r="C74" s="195" t="s">
        <v>54</v>
      </c>
      <c r="D74" s="97">
        <f>190/80</f>
        <v>2.38</v>
      </c>
      <c r="E74" s="196"/>
      <c r="F74" s="197"/>
      <c r="G74" s="97">
        <f>Insumos!D52</f>
        <v>60.3</v>
      </c>
      <c r="H74" s="97"/>
      <c r="I74" s="168">
        <f>G74*D74</f>
        <v>143.51</v>
      </c>
      <c r="J74" s="49"/>
    </row>
    <row r="75" spans="2:10" ht="30" customHeight="1">
      <c r="B75" s="471" t="s">
        <v>744</v>
      </c>
      <c r="C75" s="195" t="s">
        <v>54</v>
      </c>
      <c r="D75" s="97">
        <f>190/80</f>
        <v>2.38</v>
      </c>
      <c r="E75" s="196"/>
      <c r="F75" s="197"/>
      <c r="G75" s="97">
        <f>Insumos!D133</f>
        <v>137.96</v>
      </c>
      <c r="H75" s="97"/>
      <c r="I75" s="168">
        <f>G75*D75</f>
        <v>328.34</v>
      </c>
      <c r="J75" s="133"/>
    </row>
    <row r="76" spans="2:10" ht="54.75" customHeight="1">
      <c r="B76" s="614" t="s">
        <v>724</v>
      </c>
      <c r="C76" s="195" t="s">
        <v>54</v>
      </c>
      <c r="D76" s="97">
        <f>190/80</f>
        <v>2.38</v>
      </c>
      <c r="E76" s="196"/>
      <c r="F76" s="197"/>
      <c r="G76" s="97">
        <f>Insumos!D142</f>
        <v>103.36</v>
      </c>
      <c r="H76" s="97"/>
      <c r="I76" s="168">
        <f>G76*D76</f>
        <v>246</v>
      </c>
      <c r="J76" s="132"/>
    </row>
    <row r="77" spans="2:10" s="434" customFormat="1" ht="30" customHeight="1">
      <c r="B77" s="614" t="s">
        <v>723</v>
      </c>
      <c r="C77" s="584" t="s">
        <v>54</v>
      </c>
      <c r="D77" s="97">
        <f t="shared" ref="D77:D80" si="2">190/80</f>
        <v>2.38</v>
      </c>
      <c r="E77" s="256"/>
      <c r="F77" s="256"/>
      <c r="G77" s="97"/>
      <c r="H77" s="97">
        <f>Insumos!D135</f>
        <v>42.65</v>
      </c>
      <c r="I77" s="168">
        <f>H77*D77</f>
        <v>101.51</v>
      </c>
      <c r="J77" s="49"/>
    </row>
    <row r="78" spans="2:10" ht="30" customHeight="1">
      <c r="B78" s="614" t="s">
        <v>725</v>
      </c>
      <c r="C78" s="584" t="s">
        <v>54</v>
      </c>
      <c r="D78" s="97">
        <f t="shared" si="2"/>
        <v>2.38</v>
      </c>
      <c r="E78" s="256"/>
      <c r="F78" s="256"/>
      <c r="G78" s="97"/>
      <c r="H78" s="97">
        <f>Insumos!D137</f>
        <v>83.22</v>
      </c>
      <c r="I78" s="168">
        <f t="shared" ref="I78:I80" si="3">H78*D78</f>
        <v>198.06</v>
      </c>
      <c r="J78" s="133"/>
    </row>
    <row r="79" spans="2:10" ht="30" customHeight="1">
      <c r="B79" s="614" t="s">
        <v>726</v>
      </c>
      <c r="C79" s="584" t="s">
        <v>54</v>
      </c>
      <c r="D79" s="97">
        <f t="shared" si="2"/>
        <v>2.38</v>
      </c>
      <c r="E79" s="256"/>
      <c r="F79" s="256"/>
      <c r="G79" s="97"/>
      <c r="H79" s="97">
        <f>Insumos!D139</f>
        <v>45.6</v>
      </c>
      <c r="I79" s="168">
        <f t="shared" si="3"/>
        <v>108.53</v>
      </c>
      <c r="J79" s="133"/>
    </row>
    <row r="80" spans="2:10" ht="30" customHeight="1">
      <c r="B80" s="614" t="s">
        <v>722</v>
      </c>
      <c r="C80" s="584" t="s">
        <v>54</v>
      </c>
      <c r="D80" s="97">
        <f t="shared" si="2"/>
        <v>2.38</v>
      </c>
      <c r="E80" s="256"/>
      <c r="F80" s="256"/>
      <c r="G80" s="97"/>
      <c r="H80" s="97">
        <f>Insumos!D141</f>
        <v>5.24</v>
      </c>
      <c r="I80" s="168">
        <f t="shared" si="3"/>
        <v>12.47</v>
      </c>
      <c r="J80" s="133"/>
    </row>
    <row r="81" spans="2:10" ht="30" customHeight="1">
      <c r="B81" s="684" t="s">
        <v>55</v>
      </c>
      <c r="C81" s="685"/>
      <c r="D81" s="685"/>
      <c r="E81" s="685"/>
      <c r="F81" s="685"/>
      <c r="G81" s="685"/>
      <c r="H81" s="685"/>
      <c r="I81" s="168">
        <f>SUM(I74:I80)</f>
        <v>1138.42</v>
      </c>
      <c r="J81" s="132"/>
    </row>
    <row r="82" spans="2:10" s="434" customFormat="1" ht="30" customHeight="1">
      <c r="B82" s="686" t="s">
        <v>56</v>
      </c>
      <c r="C82" s="687"/>
      <c r="D82" s="687"/>
      <c r="E82" s="687"/>
      <c r="F82" s="687"/>
      <c r="G82" s="687"/>
      <c r="H82" s="687"/>
      <c r="I82" s="688"/>
      <c r="J82" s="49"/>
    </row>
    <row r="83" spans="2:10" ht="30" customHeight="1">
      <c r="B83" s="211" t="s">
        <v>57</v>
      </c>
      <c r="C83" s="195" t="s">
        <v>47</v>
      </c>
      <c r="D83" s="197" t="s">
        <v>48</v>
      </c>
      <c r="E83" s="468"/>
      <c r="F83" s="468"/>
      <c r="G83" s="468"/>
      <c r="H83" s="202" t="s">
        <v>58</v>
      </c>
      <c r="I83" s="385" t="s">
        <v>53</v>
      </c>
      <c r="J83" s="133"/>
    </row>
    <row r="84" spans="2:10" ht="30" customHeight="1">
      <c r="B84" s="560" t="s">
        <v>745</v>
      </c>
      <c r="C84" s="195" t="s">
        <v>59</v>
      </c>
      <c r="D84" s="97">
        <v>14</v>
      </c>
      <c r="E84" s="468"/>
      <c r="F84" s="468"/>
      <c r="G84" s="468"/>
      <c r="H84" s="195">
        <f>Insumos!D132</f>
        <v>16.829999999999998</v>
      </c>
      <c r="I84" s="168">
        <f>D84*H84</f>
        <v>235.62</v>
      </c>
      <c r="J84" s="133"/>
    </row>
    <row r="85" spans="2:10" ht="30" customHeight="1">
      <c r="B85" s="560"/>
      <c r="C85" s="195"/>
      <c r="D85" s="97"/>
      <c r="E85" s="468"/>
      <c r="F85" s="468"/>
      <c r="G85" s="468"/>
      <c r="H85" s="195"/>
      <c r="I85" s="168">
        <f>D85*H85</f>
        <v>0</v>
      </c>
      <c r="J85" s="132"/>
    </row>
    <row r="86" spans="2:10" s="434" customFormat="1" ht="30" customHeight="1">
      <c r="B86" s="684" t="s">
        <v>55</v>
      </c>
      <c r="C86" s="685"/>
      <c r="D86" s="685"/>
      <c r="E86" s="685"/>
      <c r="F86" s="685"/>
      <c r="G86" s="685"/>
      <c r="H86" s="685"/>
      <c r="I86" s="168">
        <f>SUM(I84:I85)</f>
        <v>235.62</v>
      </c>
      <c r="J86" s="49"/>
    </row>
    <row r="87" spans="2:10" ht="30" customHeight="1">
      <c r="B87" s="686" t="s">
        <v>60</v>
      </c>
      <c r="C87" s="687"/>
      <c r="D87" s="687"/>
      <c r="E87" s="687"/>
      <c r="F87" s="687"/>
      <c r="G87" s="687"/>
      <c r="H87" s="687"/>
      <c r="I87" s="688"/>
      <c r="J87" s="133"/>
    </row>
    <row r="88" spans="2:10" ht="30" customHeight="1">
      <c r="B88" s="211" t="s">
        <v>57</v>
      </c>
      <c r="C88" s="56" t="s">
        <v>47</v>
      </c>
      <c r="D88" s="202" t="s">
        <v>48</v>
      </c>
      <c r="E88" s="616"/>
      <c r="F88" s="616"/>
      <c r="G88" s="616"/>
      <c r="H88" s="202" t="s">
        <v>58</v>
      </c>
      <c r="I88" s="385" t="s">
        <v>53</v>
      </c>
      <c r="J88" s="133"/>
    </row>
    <row r="89" spans="2:10" s="434" customFormat="1" ht="30" customHeight="1">
      <c r="B89" s="561"/>
      <c r="C89" s="195"/>
      <c r="D89" s="203"/>
      <c r="E89" s="616"/>
      <c r="F89" s="616"/>
      <c r="G89" s="616"/>
      <c r="H89" s="195"/>
      <c r="I89" s="168">
        <f>D89*H89</f>
        <v>0</v>
      </c>
      <c r="J89" s="60"/>
    </row>
    <row r="90" spans="2:10" s="434" customFormat="1" ht="30" customHeight="1">
      <c r="B90" s="684" t="s">
        <v>55</v>
      </c>
      <c r="C90" s="685"/>
      <c r="D90" s="685"/>
      <c r="E90" s="685"/>
      <c r="F90" s="685"/>
      <c r="G90" s="685"/>
      <c r="H90" s="685"/>
      <c r="I90" s="168">
        <f>SUM(I89:I89)</f>
        <v>0</v>
      </c>
      <c r="J90" s="60"/>
    </row>
    <row r="91" spans="2:10" s="434" customFormat="1" ht="30" customHeight="1">
      <c r="B91" s="686" t="s">
        <v>61</v>
      </c>
      <c r="C91" s="687"/>
      <c r="D91" s="687"/>
      <c r="E91" s="687"/>
      <c r="F91" s="687"/>
      <c r="G91" s="687"/>
      <c r="H91" s="687"/>
      <c r="I91" s="688"/>
      <c r="J91" s="60"/>
    </row>
    <row r="92" spans="2:10" s="434" customFormat="1" ht="30" customHeight="1">
      <c r="B92" s="211" t="s">
        <v>57</v>
      </c>
      <c r="C92" s="195" t="s">
        <v>47</v>
      </c>
      <c r="D92" s="197" t="s">
        <v>48</v>
      </c>
      <c r="E92" s="468"/>
      <c r="F92" s="468"/>
      <c r="G92" s="468"/>
      <c r="H92" s="202" t="s">
        <v>58</v>
      </c>
      <c r="I92" s="385" t="s">
        <v>53</v>
      </c>
      <c r="J92" s="60"/>
    </row>
    <row r="93" spans="2:10" s="107" customFormat="1" ht="30" customHeight="1">
      <c r="B93" s="560"/>
      <c r="C93" s="195"/>
      <c r="D93" s="196"/>
      <c r="E93" s="468"/>
      <c r="F93" s="468"/>
      <c r="G93" s="468"/>
      <c r="H93" s="195"/>
      <c r="I93" s="168">
        <f>D93*H93</f>
        <v>0</v>
      </c>
      <c r="J93" s="49"/>
    </row>
    <row r="94" spans="2:10" s="93" customFormat="1" ht="30" customHeight="1">
      <c r="B94" s="560"/>
      <c r="C94" s="195"/>
      <c r="D94" s="196"/>
      <c r="E94" s="468"/>
      <c r="F94" s="468"/>
      <c r="G94" s="468"/>
      <c r="H94" s="195"/>
      <c r="I94" s="168">
        <f>D94*H94</f>
        <v>0</v>
      </c>
      <c r="J94" s="49"/>
    </row>
    <row r="95" spans="2:10" s="93" customFormat="1" ht="30" customHeight="1">
      <c r="B95" s="689" t="s">
        <v>55</v>
      </c>
      <c r="C95" s="690"/>
      <c r="D95" s="690"/>
      <c r="E95" s="690"/>
      <c r="F95" s="690"/>
      <c r="G95" s="690"/>
      <c r="H95" s="690"/>
      <c r="I95" s="163">
        <f>SUM(I93:I94)</f>
        <v>0</v>
      </c>
      <c r="J95" s="49"/>
    </row>
    <row r="96" spans="2:10" s="93" customFormat="1" ht="30" customHeight="1">
      <c r="B96" s="99" t="s">
        <v>62</v>
      </c>
      <c r="C96" s="54">
        <v>1</v>
      </c>
      <c r="D96" s="690" t="s">
        <v>63</v>
      </c>
      <c r="E96" s="690"/>
      <c r="F96" s="690"/>
      <c r="G96" s="690"/>
      <c r="H96" s="690"/>
      <c r="I96" s="163">
        <f>I95+I90+I86+I81</f>
        <v>1374.04</v>
      </c>
      <c r="J96" s="169"/>
    </row>
    <row r="97" spans="2:10" s="93" customFormat="1" ht="30" customHeight="1">
      <c r="B97" s="716" t="s">
        <v>77</v>
      </c>
      <c r="C97" s="717"/>
      <c r="D97" s="717"/>
      <c r="E97" s="717"/>
      <c r="F97" s="717"/>
      <c r="G97" s="717"/>
      <c r="H97" s="717"/>
      <c r="I97" s="100">
        <f>I96/C96</f>
        <v>1374.04</v>
      </c>
      <c r="J97" s="49"/>
    </row>
    <row r="98" spans="2:10" s="93" customFormat="1" ht="30" customHeight="1">
      <c r="B98" s="101" t="s">
        <v>113</v>
      </c>
      <c r="C98" s="129">
        <v>25</v>
      </c>
      <c r="D98" s="720" t="s">
        <v>5</v>
      </c>
      <c r="E98" s="720"/>
      <c r="F98" s="720"/>
      <c r="G98" s="720"/>
      <c r="H98" s="720"/>
      <c r="I98" s="102">
        <f>C98/100*I97</f>
        <v>343.51</v>
      </c>
      <c r="J98" s="174"/>
    </row>
    <row r="99" spans="2:10" s="93" customFormat="1" ht="30" customHeight="1" thickBot="1">
      <c r="B99" s="702" t="s">
        <v>64</v>
      </c>
      <c r="C99" s="703"/>
      <c r="D99" s="703"/>
      <c r="E99" s="703"/>
      <c r="F99" s="703"/>
      <c r="G99" s="703"/>
      <c r="H99" s="703"/>
      <c r="I99" s="188">
        <f>I98+I97</f>
        <v>1717.55</v>
      </c>
      <c r="J99" s="133"/>
    </row>
    <row r="100" spans="2:10" s="93" customFormat="1">
      <c r="B100" s="48"/>
      <c r="C100" s="48"/>
      <c r="D100" s="176"/>
      <c r="E100" s="48"/>
      <c r="F100" s="48"/>
      <c r="G100" s="48"/>
      <c r="H100" s="48"/>
      <c r="I100" s="49"/>
      <c r="J100" s="133"/>
    </row>
    <row r="101" spans="2:10" s="93" customFormat="1">
      <c r="B101" s="48"/>
      <c r="C101" s="48"/>
      <c r="D101" s="176"/>
      <c r="E101" s="48"/>
      <c r="F101" s="48"/>
      <c r="G101" s="48"/>
      <c r="H101" s="48"/>
      <c r="I101" s="49"/>
      <c r="J101" s="133"/>
    </row>
    <row r="102" spans="2:10" s="93" customFormat="1" ht="13.5" thickBot="1">
      <c r="B102" s="48"/>
      <c r="C102" s="48"/>
      <c r="D102" s="176"/>
      <c r="E102" s="48"/>
      <c r="F102" s="48"/>
      <c r="G102" s="48"/>
      <c r="H102" s="48"/>
      <c r="I102" s="49"/>
      <c r="J102" s="133"/>
    </row>
    <row r="103" spans="2:10" s="93" customFormat="1" ht="30" customHeight="1" thickBot="1">
      <c r="B103" s="484" t="s">
        <v>43</v>
      </c>
      <c r="C103" s="484" t="s">
        <v>79</v>
      </c>
      <c r="D103" s="722" t="s">
        <v>45</v>
      </c>
      <c r="E103" s="722"/>
      <c r="F103" s="722"/>
      <c r="G103" s="722"/>
      <c r="H103" s="722"/>
      <c r="I103" s="723"/>
      <c r="J103" s="132"/>
    </row>
    <row r="104" spans="2:10" s="107" customFormat="1" ht="24.95" customHeight="1">
      <c r="B104" s="712" t="s">
        <v>704</v>
      </c>
      <c r="C104" s="713"/>
      <c r="D104" s="713"/>
      <c r="E104" s="713"/>
      <c r="F104" s="713"/>
      <c r="G104" s="714"/>
      <c r="H104" s="699" t="s">
        <v>705</v>
      </c>
      <c r="I104" s="700"/>
      <c r="J104" s="49"/>
    </row>
    <row r="105" spans="2:10" s="93" customFormat="1">
      <c r="B105" s="753" t="s">
        <v>296</v>
      </c>
      <c r="C105" s="754"/>
      <c r="D105" s="754"/>
      <c r="E105" s="754"/>
      <c r="F105" s="754"/>
      <c r="G105" s="754"/>
      <c r="H105" s="483" t="s">
        <v>66</v>
      </c>
      <c r="I105" s="206" t="s">
        <v>59</v>
      </c>
      <c r="J105" s="133"/>
    </row>
    <row r="106" spans="2:10" s="93" customFormat="1" ht="15.75">
      <c r="B106" s="686" t="s">
        <v>46</v>
      </c>
      <c r="C106" s="687"/>
      <c r="D106" s="687"/>
      <c r="E106" s="687"/>
      <c r="F106" s="687"/>
      <c r="G106" s="687"/>
      <c r="H106" s="755"/>
      <c r="I106" s="688"/>
      <c r="J106" s="133"/>
    </row>
    <row r="107" spans="2:10" s="93" customFormat="1" ht="30" customHeight="1">
      <c r="B107" s="207" t="s">
        <v>57</v>
      </c>
      <c r="C107" s="191" t="s">
        <v>68</v>
      </c>
      <c r="D107" s="192" t="s">
        <v>48</v>
      </c>
      <c r="E107" s="192" t="s">
        <v>49</v>
      </c>
      <c r="F107" s="192" t="s">
        <v>50</v>
      </c>
      <c r="G107" s="193" t="s">
        <v>51</v>
      </c>
      <c r="H107" s="193" t="s">
        <v>52</v>
      </c>
      <c r="I107" s="208" t="s">
        <v>53</v>
      </c>
      <c r="J107" s="132"/>
    </row>
    <row r="108" spans="2:10" s="107" customFormat="1" ht="24.95" customHeight="1">
      <c r="B108" s="104"/>
      <c r="C108" s="50"/>
      <c r="D108" s="51"/>
      <c r="E108" s="204"/>
      <c r="F108" s="204"/>
      <c r="G108" s="201"/>
      <c r="H108" s="201"/>
      <c r="I108" s="105">
        <f>D108*E108*G108+D108*F108*H108</f>
        <v>0</v>
      </c>
      <c r="J108" s="49"/>
    </row>
    <row r="109" spans="2:10" s="93" customFormat="1">
      <c r="B109" s="769" t="s">
        <v>55</v>
      </c>
      <c r="C109" s="770"/>
      <c r="D109" s="770"/>
      <c r="E109" s="770"/>
      <c r="F109" s="770"/>
      <c r="G109" s="770"/>
      <c r="H109" s="771"/>
      <c r="I109" s="209">
        <f>SUM(I108:I108)</f>
        <v>0</v>
      </c>
      <c r="J109" s="133"/>
    </row>
    <row r="110" spans="2:10" s="93" customFormat="1" ht="15.75">
      <c r="B110" s="686" t="s">
        <v>56</v>
      </c>
      <c r="C110" s="687"/>
      <c r="D110" s="687"/>
      <c r="E110" s="687"/>
      <c r="F110" s="687"/>
      <c r="G110" s="687"/>
      <c r="H110" s="687"/>
      <c r="I110" s="688"/>
      <c r="J110" s="133"/>
    </row>
    <row r="111" spans="2:10" s="434" customFormat="1" ht="24.95" customHeight="1">
      <c r="B111" s="207" t="s">
        <v>57</v>
      </c>
      <c r="C111" s="195" t="s">
        <v>68</v>
      </c>
      <c r="D111" s="197" t="s">
        <v>48</v>
      </c>
      <c r="E111" s="468"/>
      <c r="F111" s="468"/>
      <c r="G111" s="468"/>
      <c r="H111" s="202" t="s">
        <v>58</v>
      </c>
      <c r="I111" s="385" t="s">
        <v>53</v>
      </c>
      <c r="J111" s="60"/>
    </row>
    <row r="112" spans="2:10" s="434" customFormat="1" ht="24.95" customHeight="1">
      <c r="B112" s="104" t="s">
        <v>81</v>
      </c>
      <c r="C112" s="199" t="s">
        <v>59</v>
      </c>
      <c r="D112" s="201">
        <v>2</v>
      </c>
      <c r="E112" s="200"/>
      <c r="F112" s="200"/>
      <c r="G112" s="200"/>
      <c r="H112" s="199">
        <f>Insumos!D56</f>
        <v>16.510000000000002</v>
      </c>
      <c r="I112" s="105">
        <f t="shared" ref="I112:I128" si="4">D112*H112</f>
        <v>33.020000000000003</v>
      </c>
      <c r="J112" s="60"/>
    </row>
    <row r="113" spans="2:10" s="434" customFormat="1" ht="24.95" customHeight="1">
      <c r="B113" s="104" t="s">
        <v>73</v>
      </c>
      <c r="C113" s="199" t="s">
        <v>74</v>
      </c>
      <c r="D113" s="201">
        <v>1</v>
      </c>
      <c r="E113" s="200"/>
      <c r="F113" s="200"/>
      <c r="G113" s="200"/>
      <c r="H113" s="199">
        <f>Insumos!D54</f>
        <v>6.51</v>
      </c>
      <c r="I113" s="105">
        <f t="shared" si="4"/>
        <v>6.51</v>
      </c>
      <c r="J113" s="60"/>
    </row>
    <row r="114" spans="2:10" s="434" customFormat="1" ht="24.95" customHeight="1">
      <c r="B114" s="104" t="s">
        <v>82</v>
      </c>
      <c r="C114" s="199" t="s">
        <v>71</v>
      </c>
      <c r="D114" s="201">
        <v>6</v>
      </c>
      <c r="E114" s="200"/>
      <c r="F114" s="200"/>
      <c r="G114" s="200"/>
      <c r="H114" s="199">
        <f>Insumos!D53</f>
        <v>16.760000000000002</v>
      </c>
      <c r="I114" s="105">
        <f t="shared" si="4"/>
        <v>100.56</v>
      </c>
      <c r="J114" s="60"/>
    </row>
    <row r="115" spans="2:10" s="93" customFormat="1" ht="30" customHeight="1">
      <c r="B115" s="104" t="s">
        <v>83</v>
      </c>
      <c r="C115" s="199" t="s">
        <v>71</v>
      </c>
      <c r="D115" s="201">
        <v>6</v>
      </c>
      <c r="E115" s="200"/>
      <c r="F115" s="200"/>
      <c r="G115" s="200"/>
      <c r="H115" s="199">
        <f>Insumos!D57</f>
        <v>4.8899999999999997</v>
      </c>
      <c r="I115" s="105">
        <f t="shared" si="4"/>
        <v>29.34</v>
      </c>
      <c r="J115" s="49"/>
    </row>
    <row r="116" spans="2:10" s="93" customFormat="1">
      <c r="B116" s="104" t="s">
        <v>84</v>
      </c>
      <c r="C116" s="199" t="s">
        <v>59</v>
      </c>
      <c r="D116" s="201">
        <v>6</v>
      </c>
      <c r="E116" s="200"/>
      <c r="F116" s="200"/>
      <c r="G116" s="200"/>
      <c r="H116" s="199">
        <f>Insumos!D58</f>
        <v>4.9800000000000004</v>
      </c>
      <c r="I116" s="105">
        <f t="shared" si="4"/>
        <v>29.88</v>
      </c>
      <c r="J116" s="49"/>
    </row>
    <row r="117" spans="2:10" s="93" customFormat="1">
      <c r="B117" s="104" t="s">
        <v>85</v>
      </c>
      <c r="C117" s="199" t="s">
        <v>59</v>
      </c>
      <c r="D117" s="201">
        <v>3</v>
      </c>
      <c r="E117" s="200"/>
      <c r="F117" s="200"/>
      <c r="G117" s="200"/>
      <c r="H117" s="199">
        <f>Insumos!D59</f>
        <v>10.49</v>
      </c>
      <c r="I117" s="105">
        <f t="shared" si="4"/>
        <v>31.47</v>
      </c>
      <c r="J117" s="49"/>
    </row>
    <row r="118" spans="2:10" s="93" customFormat="1" ht="30" customHeight="1">
      <c r="B118" s="104" t="s">
        <v>89</v>
      </c>
      <c r="C118" s="199" t="s">
        <v>59</v>
      </c>
      <c r="D118" s="201">
        <v>1</v>
      </c>
      <c r="E118" s="200"/>
      <c r="F118" s="200"/>
      <c r="G118" s="200"/>
      <c r="H118" s="199">
        <f>Insumos!D63</f>
        <v>60</v>
      </c>
      <c r="I118" s="105">
        <f t="shared" si="4"/>
        <v>60</v>
      </c>
      <c r="J118" s="169"/>
    </row>
    <row r="119" spans="2:10" s="93" customFormat="1" ht="30" customHeight="1">
      <c r="B119" s="104" t="s">
        <v>90</v>
      </c>
      <c r="C119" s="199" t="s">
        <v>59</v>
      </c>
      <c r="D119" s="201">
        <v>2</v>
      </c>
      <c r="E119" s="200"/>
      <c r="F119" s="200"/>
      <c r="G119" s="200"/>
      <c r="H119" s="199">
        <f>Insumos!D64</f>
        <v>7.3</v>
      </c>
      <c r="I119" s="105">
        <f t="shared" si="4"/>
        <v>14.6</v>
      </c>
      <c r="J119" s="49"/>
    </row>
    <row r="120" spans="2:10" s="107" customFormat="1" ht="30" customHeight="1">
      <c r="B120" s="104" t="s">
        <v>91</v>
      </c>
      <c r="C120" s="199" t="s">
        <v>59</v>
      </c>
      <c r="D120" s="201">
        <v>1</v>
      </c>
      <c r="E120" s="200"/>
      <c r="F120" s="200"/>
      <c r="G120" s="200"/>
      <c r="H120" s="199">
        <f>Insumos!D65</f>
        <v>199</v>
      </c>
      <c r="I120" s="105">
        <f t="shared" si="4"/>
        <v>199</v>
      </c>
      <c r="J120" s="174"/>
    </row>
    <row r="121" spans="2:10" s="107" customFormat="1" ht="30" customHeight="1">
      <c r="B121" s="104" t="s">
        <v>93</v>
      </c>
      <c r="C121" s="199" t="s">
        <v>59</v>
      </c>
      <c r="D121" s="201">
        <v>2</v>
      </c>
      <c r="E121" s="200"/>
      <c r="F121" s="200"/>
      <c r="G121" s="200"/>
      <c r="H121" s="199">
        <f>Insumos!D66</f>
        <v>7.55</v>
      </c>
      <c r="I121" s="105">
        <f t="shared" si="4"/>
        <v>15.1</v>
      </c>
      <c r="J121" s="132"/>
    </row>
    <row r="122" spans="2:10" s="107" customFormat="1" ht="30" customHeight="1">
      <c r="B122" s="104" t="s">
        <v>94</v>
      </c>
      <c r="C122" s="199" t="s">
        <v>59</v>
      </c>
      <c r="D122" s="201">
        <v>2</v>
      </c>
      <c r="E122" s="200"/>
      <c r="F122" s="200"/>
      <c r="G122" s="200"/>
      <c r="H122" s="199">
        <f>Insumos!D67</f>
        <v>5.42</v>
      </c>
      <c r="I122" s="105">
        <f t="shared" si="4"/>
        <v>10.84</v>
      </c>
      <c r="J122" s="49"/>
    </row>
    <row r="123" spans="2:10" s="107" customFormat="1" ht="30" customHeight="1">
      <c r="B123" s="104" t="s">
        <v>95</v>
      </c>
      <c r="C123" s="199" t="s">
        <v>59</v>
      </c>
      <c r="D123" s="201">
        <v>4</v>
      </c>
      <c r="E123" s="200"/>
      <c r="F123" s="200"/>
      <c r="G123" s="200"/>
      <c r="H123" s="199">
        <f>Insumos!D68</f>
        <v>6.8</v>
      </c>
      <c r="I123" s="105">
        <f t="shared" si="4"/>
        <v>27.2</v>
      </c>
      <c r="J123" s="49"/>
    </row>
    <row r="124" spans="2:10" s="107" customFormat="1" ht="30" customHeight="1">
      <c r="B124" s="104" t="s">
        <v>96</v>
      </c>
      <c r="C124" s="199" t="s">
        <v>59</v>
      </c>
      <c r="D124" s="201">
        <v>4</v>
      </c>
      <c r="E124" s="200"/>
      <c r="F124" s="200"/>
      <c r="G124" s="200"/>
      <c r="H124" s="199">
        <f>Insumos!D69</f>
        <v>6.39</v>
      </c>
      <c r="I124" s="105">
        <f t="shared" si="4"/>
        <v>25.56</v>
      </c>
      <c r="J124" s="548"/>
    </row>
    <row r="125" spans="2:10" s="107" customFormat="1" ht="30" customHeight="1">
      <c r="B125" s="104" t="s">
        <v>97</v>
      </c>
      <c r="C125" s="199" t="s">
        <v>59</v>
      </c>
      <c r="D125" s="201">
        <v>4</v>
      </c>
      <c r="E125" s="200"/>
      <c r="F125" s="200"/>
      <c r="G125" s="200"/>
      <c r="H125" s="199">
        <f>Insumos!D70</f>
        <v>2.9</v>
      </c>
      <c r="I125" s="105">
        <f t="shared" si="4"/>
        <v>11.6</v>
      </c>
      <c r="J125" s="132"/>
    </row>
    <row r="126" spans="2:10" s="107" customFormat="1" ht="30" customHeight="1">
      <c r="B126" s="104" t="s">
        <v>98</v>
      </c>
      <c r="C126" s="199" t="s">
        <v>59</v>
      </c>
      <c r="D126" s="201">
        <v>4</v>
      </c>
      <c r="E126" s="200"/>
      <c r="F126" s="200"/>
      <c r="G126" s="200"/>
      <c r="H126" s="199">
        <f>Insumos!D71</f>
        <v>1.02</v>
      </c>
      <c r="I126" s="105">
        <f t="shared" si="4"/>
        <v>4.08</v>
      </c>
      <c r="J126" s="49"/>
    </row>
    <row r="127" spans="2:10" s="107" customFormat="1" ht="30" customHeight="1">
      <c r="B127" s="104" t="s">
        <v>99</v>
      </c>
      <c r="C127" s="199" t="s">
        <v>92</v>
      </c>
      <c r="D127" s="201">
        <v>7.2</v>
      </c>
      <c r="E127" s="200"/>
      <c r="F127" s="200"/>
      <c r="G127" s="200"/>
      <c r="H127" s="199">
        <f>Insumos!D72</f>
        <v>12.9</v>
      </c>
      <c r="I127" s="105">
        <f t="shared" si="4"/>
        <v>92.88</v>
      </c>
      <c r="J127" s="49"/>
    </row>
    <row r="128" spans="2:10" s="107" customFormat="1" ht="30" customHeight="1">
      <c r="B128" s="104" t="s">
        <v>100</v>
      </c>
      <c r="C128" s="199" t="s">
        <v>59</v>
      </c>
      <c r="D128" s="201">
        <v>1</v>
      </c>
      <c r="E128" s="200"/>
      <c r="F128" s="200"/>
      <c r="G128" s="200"/>
      <c r="H128" s="199">
        <f>Insumos!D83</f>
        <v>23.43</v>
      </c>
      <c r="I128" s="105">
        <f t="shared" si="4"/>
        <v>23.43</v>
      </c>
      <c r="J128" s="49"/>
    </row>
    <row r="129" spans="2:10" s="107" customFormat="1" ht="30" customHeight="1">
      <c r="B129" s="684" t="s">
        <v>55</v>
      </c>
      <c r="C129" s="685"/>
      <c r="D129" s="685"/>
      <c r="E129" s="685"/>
      <c r="F129" s="685"/>
      <c r="G129" s="685"/>
      <c r="H129" s="685"/>
      <c r="I129" s="105">
        <f>SUM(I112:I128)</f>
        <v>715.07</v>
      </c>
      <c r="J129" s="49"/>
    </row>
    <row r="130" spans="2:10" s="107" customFormat="1" ht="30" customHeight="1">
      <c r="B130" s="686" t="s">
        <v>60</v>
      </c>
      <c r="C130" s="687"/>
      <c r="D130" s="687"/>
      <c r="E130" s="687"/>
      <c r="F130" s="687"/>
      <c r="G130" s="687"/>
      <c r="H130" s="687"/>
      <c r="I130" s="688"/>
      <c r="J130" s="60"/>
    </row>
    <row r="131" spans="2:10" s="107" customFormat="1" ht="30" customHeight="1">
      <c r="B131" s="210" t="s">
        <v>57</v>
      </c>
      <c r="C131" s="56" t="s">
        <v>68</v>
      </c>
      <c r="D131" s="202" t="s">
        <v>48</v>
      </c>
      <c r="E131" s="198"/>
      <c r="F131" s="198"/>
      <c r="G131" s="198"/>
      <c r="H131" s="202" t="s">
        <v>58</v>
      </c>
      <c r="I131" s="385" t="s">
        <v>53</v>
      </c>
      <c r="J131" s="548"/>
    </row>
    <row r="132" spans="2:10" s="107" customFormat="1" ht="30" customHeight="1">
      <c r="B132" s="106" t="s">
        <v>706</v>
      </c>
      <c r="C132" s="195" t="s">
        <v>59</v>
      </c>
      <c r="D132" s="203">
        <v>6</v>
      </c>
      <c r="E132" s="198"/>
      <c r="F132" s="198"/>
      <c r="G132" s="198"/>
      <c r="H132" s="195">
        <v>200</v>
      </c>
      <c r="I132" s="105">
        <f>D132*H132</f>
        <v>1200</v>
      </c>
      <c r="J132" s="132"/>
    </row>
    <row r="133" spans="2:10" s="107" customFormat="1" ht="30" customHeight="1">
      <c r="B133" s="684" t="s">
        <v>55</v>
      </c>
      <c r="C133" s="685"/>
      <c r="D133" s="685"/>
      <c r="E133" s="685"/>
      <c r="F133" s="685"/>
      <c r="G133" s="685"/>
      <c r="H133" s="685"/>
      <c r="I133" s="105">
        <f>SUM(I132:I132)</f>
        <v>1200</v>
      </c>
      <c r="J133" s="49"/>
    </row>
    <row r="134" spans="2:10" s="107" customFormat="1" ht="30" customHeight="1">
      <c r="B134" s="686" t="s">
        <v>61</v>
      </c>
      <c r="C134" s="687"/>
      <c r="D134" s="687"/>
      <c r="E134" s="687"/>
      <c r="F134" s="687"/>
      <c r="G134" s="687"/>
      <c r="H134" s="687"/>
      <c r="I134" s="688"/>
      <c r="J134" s="49"/>
    </row>
    <row r="135" spans="2:10" s="107" customFormat="1" ht="30" customHeight="1">
      <c r="B135" s="207" t="s">
        <v>57</v>
      </c>
      <c r="C135" s="195" t="s">
        <v>68</v>
      </c>
      <c r="D135" s="197" t="s">
        <v>48</v>
      </c>
      <c r="E135" s="468"/>
      <c r="F135" s="468"/>
      <c r="G135" s="468"/>
      <c r="H135" s="202" t="s">
        <v>58</v>
      </c>
      <c r="I135" s="385" t="s">
        <v>53</v>
      </c>
      <c r="J135" s="548"/>
    </row>
    <row r="136" spans="2:10" s="107" customFormat="1" ht="30" customHeight="1">
      <c r="B136" s="104" t="s">
        <v>101</v>
      </c>
      <c r="C136" s="199" t="s">
        <v>54</v>
      </c>
      <c r="D136" s="204">
        <v>14</v>
      </c>
      <c r="E136" s="200"/>
      <c r="F136" s="200"/>
      <c r="G136" s="200"/>
      <c r="H136" s="199">
        <f>Insumos!D16</f>
        <v>8.69</v>
      </c>
      <c r="I136" s="105">
        <f>D136*H136</f>
        <v>121.66</v>
      </c>
      <c r="J136" s="132"/>
    </row>
    <row r="137" spans="2:10" s="107" customFormat="1" ht="30" customHeight="1">
      <c r="B137" s="104" t="s">
        <v>76</v>
      </c>
      <c r="C137" s="199" t="s">
        <v>54</v>
      </c>
      <c r="D137" s="204">
        <v>15</v>
      </c>
      <c r="E137" s="200"/>
      <c r="F137" s="200"/>
      <c r="G137" s="200"/>
      <c r="H137" s="199">
        <f>Insumos!D24</f>
        <v>6.53</v>
      </c>
      <c r="I137" s="105">
        <f>D137*H137</f>
        <v>97.95</v>
      </c>
      <c r="J137" s="49"/>
    </row>
    <row r="138" spans="2:10" s="107" customFormat="1" ht="30" customHeight="1">
      <c r="B138" s="689" t="s">
        <v>55</v>
      </c>
      <c r="C138" s="690"/>
      <c r="D138" s="690"/>
      <c r="E138" s="690"/>
      <c r="F138" s="690"/>
      <c r="G138" s="690"/>
      <c r="H138" s="690"/>
      <c r="I138" s="163">
        <f>SUM(I136:I137)</f>
        <v>219.61</v>
      </c>
      <c r="J138" s="49"/>
    </row>
    <row r="139" spans="2:10" s="107" customFormat="1" ht="30" customHeight="1">
      <c r="B139" s="99" t="s">
        <v>62</v>
      </c>
      <c r="C139" s="54">
        <v>1</v>
      </c>
      <c r="D139" s="690" t="s">
        <v>63</v>
      </c>
      <c r="E139" s="690"/>
      <c r="F139" s="690"/>
      <c r="G139" s="690"/>
      <c r="H139" s="690"/>
      <c r="I139" s="163">
        <f>I109+I133+I129+I138</f>
        <v>2134.6799999999998</v>
      </c>
      <c r="J139" s="49"/>
    </row>
    <row r="140" spans="2:10" s="107" customFormat="1" ht="30" customHeight="1">
      <c r="B140" s="716" t="s">
        <v>77</v>
      </c>
      <c r="C140" s="717"/>
      <c r="D140" s="717"/>
      <c r="E140" s="717"/>
      <c r="F140" s="717"/>
      <c r="G140" s="717"/>
      <c r="H140" s="717"/>
      <c r="I140" s="100">
        <f>I139/C139</f>
        <v>2134.6799999999998</v>
      </c>
      <c r="J140" s="60"/>
    </row>
    <row r="141" spans="2:10" s="107" customFormat="1" ht="30" customHeight="1">
      <c r="B141" s="101" t="s">
        <v>113</v>
      </c>
      <c r="C141" s="129">
        <v>25</v>
      </c>
      <c r="D141" s="720" t="s">
        <v>5</v>
      </c>
      <c r="E141" s="720"/>
      <c r="F141" s="720"/>
      <c r="G141" s="720"/>
      <c r="H141" s="720"/>
      <c r="I141" s="102">
        <f>C141/100*I140</f>
        <v>533.66999999999996</v>
      </c>
      <c r="J141" s="60"/>
    </row>
    <row r="142" spans="2:10" s="107" customFormat="1" ht="30" customHeight="1" thickBot="1">
      <c r="B142" s="702" t="s">
        <v>64</v>
      </c>
      <c r="C142" s="703"/>
      <c r="D142" s="703"/>
      <c r="E142" s="703"/>
      <c r="F142" s="703"/>
      <c r="G142" s="703"/>
      <c r="H142" s="703"/>
      <c r="I142" s="190">
        <f>I141+I140</f>
        <v>2668.35</v>
      </c>
      <c r="J142" s="60"/>
    </row>
    <row r="143" spans="2:10" s="107" customFormat="1">
      <c r="B143" s="48"/>
      <c r="C143" s="48"/>
      <c r="D143" s="48"/>
      <c r="E143" s="48"/>
      <c r="F143" s="48"/>
      <c r="G143" s="48"/>
      <c r="H143" s="48"/>
      <c r="I143" s="617"/>
      <c r="J143" s="60"/>
    </row>
    <row r="144" spans="2:10" s="107" customFormat="1">
      <c r="B144" s="48"/>
      <c r="C144" s="48"/>
      <c r="D144" s="176"/>
      <c r="E144" s="48"/>
      <c r="F144" s="48"/>
      <c r="G144" s="48"/>
      <c r="H144" s="48"/>
      <c r="I144" s="49"/>
      <c r="J144" s="60"/>
    </row>
    <row r="145" spans="2:10" s="107" customFormat="1" ht="13.5" thickBot="1">
      <c r="B145" s="48"/>
      <c r="C145" s="48"/>
      <c r="D145" s="176"/>
      <c r="E145" s="48"/>
      <c r="F145" s="48"/>
      <c r="G145" s="48"/>
      <c r="H145" s="48"/>
      <c r="I145" s="49"/>
      <c r="J145" s="49"/>
    </row>
    <row r="146" spans="2:10" s="93" customFormat="1" ht="16.5" thickBot="1">
      <c r="B146" s="484" t="s">
        <v>43</v>
      </c>
      <c r="C146" s="484" t="s">
        <v>105</v>
      </c>
      <c r="D146" s="722" t="s">
        <v>45</v>
      </c>
      <c r="E146" s="722"/>
      <c r="F146" s="722"/>
      <c r="G146" s="722"/>
      <c r="H146" s="722"/>
      <c r="I146" s="723"/>
      <c r="J146" s="49"/>
    </row>
    <row r="147" spans="2:10" s="93" customFormat="1">
      <c r="B147" s="712" t="s">
        <v>704</v>
      </c>
      <c r="C147" s="713"/>
      <c r="D147" s="713"/>
      <c r="E147" s="713"/>
      <c r="F147" s="713"/>
      <c r="G147" s="714"/>
      <c r="H147" s="699" t="s">
        <v>705</v>
      </c>
      <c r="I147" s="700"/>
      <c r="J147" s="49"/>
    </row>
    <row r="148" spans="2:10" s="93" customFormat="1">
      <c r="B148" s="753" t="s">
        <v>297</v>
      </c>
      <c r="C148" s="754"/>
      <c r="D148" s="754"/>
      <c r="E148" s="754"/>
      <c r="F148" s="754"/>
      <c r="G148" s="754"/>
      <c r="H148" s="482" t="s">
        <v>66</v>
      </c>
      <c r="I148" s="206" t="s">
        <v>106</v>
      </c>
      <c r="J148" s="49"/>
    </row>
    <row r="149" spans="2:10" s="93" customFormat="1" ht="30" customHeight="1">
      <c r="B149" s="686" t="s">
        <v>46</v>
      </c>
      <c r="C149" s="687"/>
      <c r="D149" s="687"/>
      <c r="E149" s="687"/>
      <c r="F149" s="687"/>
      <c r="G149" s="687"/>
      <c r="H149" s="755"/>
      <c r="I149" s="688"/>
      <c r="J149" s="49"/>
    </row>
    <row r="150" spans="2:10" s="93" customFormat="1" ht="30" customHeight="1">
      <c r="B150" s="207" t="s">
        <v>57</v>
      </c>
      <c r="C150" s="191" t="s">
        <v>68</v>
      </c>
      <c r="D150" s="192" t="s">
        <v>48</v>
      </c>
      <c r="E150" s="192" t="s">
        <v>49</v>
      </c>
      <c r="F150" s="192" t="s">
        <v>50</v>
      </c>
      <c r="G150" s="193" t="s">
        <v>51</v>
      </c>
      <c r="H150" s="193" t="s">
        <v>52</v>
      </c>
      <c r="I150" s="208" t="s">
        <v>53</v>
      </c>
      <c r="J150" s="49"/>
    </row>
    <row r="151" spans="2:10" s="93" customFormat="1" ht="30" customHeight="1">
      <c r="B151" s="165" t="s">
        <v>107</v>
      </c>
      <c r="C151" s="166" t="s">
        <v>106</v>
      </c>
      <c r="D151" s="167">
        <v>0.45</v>
      </c>
      <c r="E151" s="167"/>
      <c r="F151" s="196"/>
      <c r="G151" s="97">
        <f>Veiculo!D46</f>
        <v>2202.96</v>
      </c>
      <c r="H151" s="97"/>
      <c r="I151" s="168">
        <f>D151*G151</f>
        <v>991.33</v>
      </c>
      <c r="J151" s="49"/>
    </row>
    <row r="152" spans="2:10" s="107" customFormat="1" ht="24.95" customHeight="1">
      <c r="B152" s="785" t="s">
        <v>55</v>
      </c>
      <c r="C152" s="786"/>
      <c r="D152" s="786"/>
      <c r="E152" s="786"/>
      <c r="F152" s="786"/>
      <c r="G152" s="786"/>
      <c r="H152" s="786"/>
      <c r="I152" s="547">
        <f>SUM(I151:I151)</f>
        <v>991.33</v>
      </c>
      <c r="J152" s="49"/>
    </row>
    <row r="153" spans="2:10" s="107" customFormat="1" ht="30" customHeight="1">
      <c r="B153" s="686" t="s">
        <v>56</v>
      </c>
      <c r="C153" s="687"/>
      <c r="D153" s="687"/>
      <c r="E153" s="687"/>
      <c r="F153" s="687"/>
      <c r="G153" s="687"/>
      <c r="H153" s="687"/>
      <c r="I153" s="688"/>
      <c r="J153" s="49"/>
    </row>
    <row r="154" spans="2:10" s="107" customFormat="1" ht="30" customHeight="1">
      <c r="B154" s="467" t="s">
        <v>57</v>
      </c>
      <c r="C154" s="195" t="s">
        <v>68</v>
      </c>
      <c r="D154" s="197" t="s">
        <v>48</v>
      </c>
      <c r="E154" s="468"/>
      <c r="F154" s="468"/>
      <c r="G154" s="468"/>
      <c r="H154" s="202" t="s">
        <v>58</v>
      </c>
      <c r="I154" s="385" t="s">
        <v>53</v>
      </c>
      <c r="J154" s="49"/>
    </row>
    <row r="155" spans="2:10" s="107" customFormat="1" ht="30" customHeight="1">
      <c r="B155" s="549" t="s">
        <v>108</v>
      </c>
      <c r="C155" s="195" t="s">
        <v>106</v>
      </c>
      <c r="D155" s="97">
        <v>1</v>
      </c>
      <c r="E155" s="468"/>
      <c r="F155" s="468"/>
      <c r="G155" s="468"/>
      <c r="H155" s="195">
        <f>200/5</f>
        <v>40</v>
      </c>
      <c r="I155" s="168">
        <f>D155*H155</f>
        <v>40</v>
      </c>
      <c r="J155" s="49"/>
    </row>
    <row r="156" spans="2:10" s="107" customFormat="1" ht="30" customHeight="1">
      <c r="B156" s="549" t="s">
        <v>109</v>
      </c>
      <c r="C156" s="195" t="s">
        <v>106</v>
      </c>
      <c r="D156" s="97">
        <v>1</v>
      </c>
      <c r="E156" s="468"/>
      <c r="F156" s="468"/>
      <c r="G156" s="468"/>
      <c r="H156" s="195">
        <f>100/5</f>
        <v>20</v>
      </c>
      <c r="I156" s="168">
        <f>D156*H156</f>
        <v>20</v>
      </c>
      <c r="J156" s="49"/>
    </row>
    <row r="157" spans="2:10" s="107" customFormat="1" ht="30" customHeight="1">
      <c r="B157" s="549" t="s">
        <v>110</v>
      </c>
      <c r="C157" s="195" t="s">
        <v>106</v>
      </c>
      <c r="D157" s="97">
        <v>1</v>
      </c>
      <c r="E157" s="468"/>
      <c r="F157" s="468"/>
      <c r="G157" s="468"/>
      <c r="H157" s="550">
        <v>10</v>
      </c>
      <c r="I157" s="168">
        <f>D157*H157</f>
        <v>10</v>
      </c>
      <c r="J157" s="49"/>
    </row>
    <row r="158" spans="2:10" s="107" customFormat="1" ht="30" customHeight="1">
      <c r="B158" s="551"/>
      <c r="C158" s="286"/>
      <c r="D158" s="171"/>
      <c r="E158" s="470"/>
      <c r="F158" s="470"/>
      <c r="G158" s="470"/>
      <c r="H158" s="470"/>
      <c r="I158" s="552"/>
      <c r="J158" s="49"/>
    </row>
    <row r="159" spans="2:10" s="107" customFormat="1" ht="30" customHeight="1">
      <c r="B159" s="761" t="s">
        <v>55</v>
      </c>
      <c r="C159" s="762"/>
      <c r="D159" s="762"/>
      <c r="E159" s="762"/>
      <c r="F159" s="762"/>
      <c r="G159" s="762"/>
      <c r="H159" s="762"/>
      <c r="I159" s="553">
        <f>SUM(I155:I158)</f>
        <v>70</v>
      </c>
      <c r="J159" s="49"/>
    </row>
    <row r="160" spans="2:10" s="107" customFormat="1" ht="30" customHeight="1">
      <c r="B160" s="686" t="s">
        <v>60</v>
      </c>
      <c r="C160" s="687"/>
      <c r="D160" s="687"/>
      <c r="E160" s="687"/>
      <c r="F160" s="687"/>
      <c r="G160" s="687"/>
      <c r="H160" s="687"/>
      <c r="I160" s="688"/>
      <c r="J160" s="49"/>
    </row>
    <row r="161" spans="2:12" s="107" customFormat="1" ht="30" customHeight="1">
      <c r="B161" s="211" t="s">
        <v>57</v>
      </c>
      <c r="C161" s="56" t="s">
        <v>68</v>
      </c>
      <c r="D161" s="202" t="s">
        <v>48</v>
      </c>
      <c r="E161" s="198"/>
      <c r="F161" s="198"/>
      <c r="G161" s="198"/>
      <c r="H161" s="202" t="s">
        <v>58</v>
      </c>
      <c r="I161" s="385" t="s">
        <v>53</v>
      </c>
      <c r="J161" s="49"/>
    </row>
    <row r="162" spans="2:12" s="107" customFormat="1" ht="30" customHeight="1">
      <c r="B162" s="549"/>
      <c r="C162" s="195"/>
      <c r="D162" s="97"/>
      <c r="E162" s="468"/>
      <c r="F162" s="468"/>
      <c r="G162" s="468"/>
      <c r="H162" s="195"/>
      <c r="I162" s="168">
        <f>D162*H162</f>
        <v>0</v>
      </c>
      <c r="J162" s="49"/>
    </row>
    <row r="163" spans="2:12" s="107" customFormat="1" ht="30" customHeight="1">
      <c r="B163" s="761" t="s">
        <v>55</v>
      </c>
      <c r="C163" s="762"/>
      <c r="D163" s="762"/>
      <c r="E163" s="762"/>
      <c r="F163" s="762"/>
      <c r="G163" s="762"/>
      <c r="H163" s="762"/>
      <c r="I163" s="553">
        <f>SUM(I162:I162)</f>
        <v>0</v>
      </c>
      <c r="J163" s="49"/>
    </row>
    <row r="164" spans="2:12" s="107" customFormat="1" ht="30" customHeight="1">
      <c r="B164" s="686" t="s">
        <v>61</v>
      </c>
      <c r="C164" s="687"/>
      <c r="D164" s="687"/>
      <c r="E164" s="687"/>
      <c r="F164" s="687"/>
      <c r="G164" s="687"/>
      <c r="H164" s="687"/>
      <c r="I164" s="688"/>
      <c r="J164" s="49"/>
    </row>
    <row r="165" spans="2:12" s="107" customFormat="1" ht="30" customHeight="1">
      <c r="B165" s="467" t="s">
        <v>57</v>
      </c>
      <c r="C165" s="195" t="s">
        <v>68</v>
      </c>
      <c r="D165" s="197" t="s">
        <v>48</v>
      </c>
      <c r="E165" s="468"/>
      <c r="F165" s="468"/>
      <c r="G165" s="468"/>
      <c r="H165" s="202" t="s">
        <v>58</v>
      </c>
      <c r="I165" s="385" t="s">
        <v>53</v>
      </c>
      <c r="J165" s="49"/>
    </row>
    <row r="166" spans="2:12" s="107" customFormat="1" ht="30" customHeight="1">
      <c r="B166" s="165" t="s">
        <v>218</v>
      </c>
      <c r="C166" s="195" t="s">
        <v>54</v>
      </c>
      <c r="D166" s="196">
        <v>16</v>
      </c>
      <c r="E166" s="468"/>
      <c r="F166" s="468"/>
      <c r="G166" s="468"/>
      <c r="H166" s="195">
        <f>Insumos!D36</f>
        <v>48.58</v>
      </c>
      <c r="I166" s="168">
        <f>D166*H166</f>
        <v>777.28</v>
      </c>
      <c r="J166" s="49"/>
    </row>
    <row r="167" spans="2:12" s="107" customFormat="1" ht="30" customHeight="1">
      <c r="B167" s="165" t="s">
        <v>219</v>
      </c>
      <c r="C167" s="195" t="str">
        <f>C166</f>
        <v>h</v>
      </c>
      <c r="D167" s="196">
        <v>40</v>
      </c>
      <c r="E167" s="468"/>
      <c r="F167" s="468"/>
      <c r="G167" s="468"/>
      <c r="H167" s="195">
        <f>Insumos!D15</f>
        <v>18.989999999999998</v>
      </c>
      <c r="I167" s="168">
        <f>D167*H167</f>
        <v>759.6</v>
      </c>
      <c r="J167" s="49"/>
    </row>
    <row r="168" spans="2:12" s="107" customFormat="1" ht="30" customHeight="1">
      <c r="B168" s="689" t="s">
        <v>55</v>
      </c>
      <c r="C168" s="690"/>
      <c r="D168" s="690"/>
      <c r="E168" s="690"/>
      <c r="F168" s="690"/>
      <c r="G168" s="690"/>
      <c r="H168" s="690"/>
      <c r="I168" s="163">
        <f>SUM(I166:I167)</f>
        <v>1536.88</v>
      </c>
      <c r="J168" s="49"/>
      <c r="L168" s="107" t="s">
        <v>580</v>
      </c>
    </row>
    <row r="169" spans="2:12" s="107" customFormat="1" ht="30" customHeight="1">
      <c r="B169" s="99" t="s">
        <v>62</v>
      </c>
      <c r="C169" s="54">
        <v>1</v>
      </c>
      <c r="D169" s="690" t="s">
        <v>63</v>
      </c>
      <c r="E169" s="690"/>
      <c r="F169" s="690"/>
      <c r="G169" s="690"/>
      <c r="H169" s="690"/>
      <c r="I169" s="163">
        <f>I152+I159+I163+I168</f>
        <v>2598.21</v>
      </c>
      <c r="J169" s="49"/>
    </row>
    <row r="170" spans="2:12" s="107" customFormat="1" ht="30" customHeight="1">
      <c r="B170" s="716" t="s">
        <v>77</v>
      </c>
      <c r="C170" s="717"/>
      <c r="D170" s="717"/>
      <c r="E170" s="717"/>
      <c r="F170" s="717"/>
      <c r="G170" s="717"/>
      <c r="H170" s="717"/>
      <c r="I170" s="100">
        <f>I169/C169</f>
        <v>2598.21</v>
      </c>
      <c r="J170" s="49"/>
    </row>
    <row r="171" spans="2:12" s="107" customFormat="1" ht="30" customHeight="1">
      <c r="B171" s="101" t="s">
        <v>113</v>
      </c>
      <c r="C171" s="129">
        <v>25</v>
      </c>
      <c r="D171" s="720" t="s">
        <v>5</v>
      </c>
      <c r="E171" s="720"/>
      <c r="F171" s="720"/>
      <c r="G171" s="720"/>
      <c r="H171" s="720"/>
      <c r="I171" s="102">
        <f>C171/100*I170</f>
        <v>649.54999999999995</v>
      </c>
      <c r="J171" s="49"/>
    </row>
    <row r="172" spans="2:12" s="93" customFormat="1" ht="16.5" thickBot="1">
      <c r="B172" s="702" t="s">
        <v>64</v>
      </c>
      <c r="C172" s="703"/>
      <c r="D172" s="703"/>
      <c r="E172" s="703"/>
      <c r="F172" s="703"/>
      <c r="G172" s="703"/>
      <c r="H172" s="703"/>
      <c r="I172" s="188">
        <f>I171+I170</f>
        <v>3247.76</v>
      </c>
      <c r="J172" s="49"/>
    </row>
    <row r="173" spans="2:12" s="93" customFormat="1">
      <c r="B173" s="48"/>
      <c r="C173" s="48"/>
      <c r="D173" s="176"/>
      <c r="E173" s="48"/>
      <c r="F173" s="48"/>
      <c r="G173" s="48"/>
      <c r="H173" s="48"/>
      <c r="I173" s="49"/>
      <c r="J173" s="49"/>
    </row>
    <row r="174" spans="2:12" s="93" customFormat="1">
      <c r="B174" s="48"/>
      <c r="C174" s="48"/>
      <c r="D174" s="176"/>
      <c r="E174" s="48"/>
      <c r="F174" s="48"/>
      <c r="G174" s="48"/>
      <c r="H174" s="48"/>
      <c r="I174" s="49"/>
      <c r="J174" s="49"/>
    </row>
    <row r="175" spans="2:12" s="93" customFormat="1" ht="13.5" thickBot="1">
      <c r="B175" s="48"/>
      <c r="C175" s="48"/>
      <c r="D175" s="176"/>
      <c r="E175" s="48"/>
      <c r="F175" s="48"/>
      <c r="G175" s="48"/>
      <c r="H175" s="48"/>
      <c r="I175" s="49"/>
      <c r="J175" s="49"/>
    </row>
    <row r="176" spans="2:12" s="93" customFormat="1" ht="30" customHeight="1" thickBot="1">
      <c r="B176" s="484" t="s">
        <v>43</v>
      </c>
      <c r="C176" s="484" t="s">
        <v>302</v>
      </c>
      <c r="D176" s="722" t="s">
        <v>45</v>
      </c>
      <c r="E176" s="722"/>
      <c r="F176" s="722"/>
      <c r="G176" s="722"/>
      <c r="H176" s="722"/>
      <c r="I176" s="723"/>
      <c r="J176" s="49"/>
    </row>
    <row r="177" spans="2:10" s="107" customFormat="1" ht="30" customHeight="1">
      <c r="B177" s="712" t="s">
        <v>704</v>
      </c>
      <c r="C177" s="713"/>
      <c r="D177" s="713"/>
      <c r="E177" s="713"/>
      <c r="F177" s="713"/>
      <c r="G177" s="714"/>
      <c r="H177" s="699" t="s">
        <v>705</v>
      </c>
      <c r="I177" s="700"/>
      <c r="J177" s="134"/>
    </row>
    <row r="178" spans="2:10" s="93" customFormat="1" ht="30" customHeight="1">
      <c r="B178" s="790" t="s">
        <v>593</v>
      </c>
      <c r="C178" s="791"/>
      <c r="D178" s="791"/>
      <c r="E178" s="791"/>
      <c r="F178" s="791"/>
      <c r="G178" s="791"/>
      <c r="H178" s="481" t="s">
        <v>66</v>
      </c>
      <c r="I178" s="466" t="s">
        <v>80</v>
      </c>
      <c r="J178" s="135"/>
    </row>
    <row r="179" spans="2:10" s="103" customFormat="1" ht="30" customHeight="1">
      <c r="B179" s="736" t="s">
        <v>46</v>
      </c>
      <c r="C179" s="737"/>
      <c r="D179" s="737"/>
      <c r="E179" s="737"/>
      <c r="F179" s="737"/>
      <c r="G179" s="737"/>
      <c r="H179" s="789"/>
      <c r="I179" s="738"/>
      <c r="J179" s="544"/>
    </row>
    <row r="180" spans="2:10" s="107" customFormat="1" ht="30" customHeight="1">
      <c r="B180" s="272" t="s">
        <v>57</v>
      </c>
      <c r="C180" s="260" t="s">
        <v>68</v>
      </c>
      <c r="D180" s="116" t="s">
        <v>48</v>
      </c>
      <c r="E180" s="116" t="s">
        <v>49</v>
      </c>
      <c r="F180" s="116" t="s">
        <v>50</v>
      </c>
      <c r="G180" s="117" t="s">
        <v>51</v>
      </c>
      <c r="H180" s="117" t="s">
        <v>52</v>
      </c>
      <c r="I180" s="273" t="s">
        <v>53</v>
      </c>
      <c r="J180" s="60"/>
    </row>
    <row r="181" spans="2:10" s="107" customFormat="1" ht="30" customHeight="1">
      <c r="B181" s="545"/>
      <c r="C181" s="258"/>
      <c r="D181" s="535"/>
      <c r="E181" s="114"/>
      <c r="F181" s="114"/>
      <c r="G181" s="55"/>
      <c r="H181" s="55"/>
      <c r="I181" s="164">
        <f>D181*E181*G181+D181*F181*H181</f>
        <v>0</v>
      </c>
      <c r="J181" s="60"/>
    </row>
    <row r="182" spans="2:10" s="107" customFormat="1" ht="30" customHeight="1">
      <c r="B182" s="787" t="s">
        <v>55</v>
      </c>
      <c r="C182" s="788"/>
      <c r="D182" s="788"/>
      <c r="E182" s="788"/>
      <c r="F182" s="788"/>
      <c r="G182" s="788"/>
      <c r="H182" s="788"/>
      <c r="I182" s="463">
        <f>SUM(I181:I181)</f>
        <v>0</v>
      </c>
      <c r="J182" s="60"/>
    </row>
    <row r="183" spans="2:10" s="107" customFormat="1" ht="30" customHeight="1">
      <c r="B183" s="736" t="s">
        <v>56</v>
      </c>
      <c r="C183" s="737"/>
      <c r="D183" s="737"/>
      <c r="E183" s="737"/>
      <c r="F183" s="737"/>
      <c r="G183" s="737"/>
      <c r="H183" s="737"/>
      <c r="I183" s="738"/>
      <c r="J183" s="135"/>
    </row>
    <row r="184" spans="2:10" s="107" customFormat="1" ht="30" customHeight="1">
      <c r="B184" s="464" t="s">
        <v>57</v>
      </c>
      <c r="C184" s="258" t="s">
        <v>68</v>
      </c>
      <c r="D184" s="177" t="s">
        <v>48</v>
      </c>
      <c r="E184" s="118"/>
      <c r="F184" s="118"/>
      <c r="G184" s="118"/>
      <c r="H184" s="258" t="s">
        <v>58</v>
      </c>
      <c r="I184" s="465" t="s">
        <v>53</v>
      </c>
      <c r="J184" s="60"/>
    </row>
    <row r="185" spans="2:10" s="107" customFormat="1" ht="30" customHeight="1">
      <c r="B185" s="529"/>
      <c r="C185" s="337"/>
      <c r="D185" s="390"/>
      <c r="E185" s="118"/>
      <c r="F185" s="118"/>
      <c r="G185" s="118"/>
      <c r="H185" s="53"/>
      <c r="I185" s="164">
        <f>D185*H185</f>
        <v>0</v>
      </c>
      <c r="J185" s="60"/>
    </row>
    <row r="186" spans="2:10" s="107" customFormat="1" ht="30" customHeight="1">
      <c r="B186" s="739" t="s">
        <v>55</v>
      </c>
      <c r="C186" s="740"/>
      <c r="D186" s="740"/>
      <c r="E186" s="740"/>
      <c r="F186" s="740"/>
      <c r="G186" s="740"/>
      <c r="H186" s="740"/>
      <c r="I186" s="100">
        <f>SUM(I185:I185)</f>
        <v>0</v>
      </c>
      <c r="J186" s="60"/>
    </row>
    <row r="187" spans="2:10" s="107" customFormat="1" ht="30" customHeight="1">
      <c r="B187" s="736" t="s">
        <v>60</v>
      </c>
      <c r="C187" s="737"/>
      <c r="D187" s="737"/>
      <c r="E187" s="737"/>
      <c r="F187" s="737"/>
      <c r="G187" s="737"/>
      <c r="H187" s="737"/>
      <c r="I187" s="738"/>
      <c r="J187" s="60"/>
    </row>
    <row r="188" spans="2:10" s="107" customFormat="1" ht="30" customHeight="1">
      <c r="B188" s="275" t="s">
        <v>57</v>
      </c>
      <c r="C188" s="257" t="s">
        <v>68</v>
      </c>
      <c r="D188" s="258" t="s">
        <v>48</v>
      </c>
      <c r="E188" s="257"/>
      <c r="F188" s="257"/>
      <c r="G188" s="257"/>
      <c r="H188" s="258" t="s">
        <v>58</v>
      </c>
      <c r="I188" s="187" t="s">
        <v>53</v>
      </c>
      <c r="J188" s="60"/>
    </row>
    <row r="189" spans="2:10" s="107" customFormat="1" ht="30" customHeight="1">
      <c r="B189" s="520"/>
      <c r="C189" s="337"/>
      <c r="D189" s="546"/>
      <c r="E189" s="257"/>
      <c r="F189" s="257"/>
      <c r="G189" s="257"/>
      <c r="H189" s="53"/>
      <c r="I189" s="100">
        <f>D189*H189</f>
        <v>0</v>
      </c>
      <c r="J189" s="60"/>
    </row>
    <row r="190" spans="2:10" s="107" customFormat="1" ht="30" customHeight="1">
      <c r="B190" s="739" t="s">
        <v>55</v>
      </c>
      <c r="C190" s="740"/>
      <c r="D190" s="740"/>
      <c r="E190" s="740"/>
      <c r="F190" s="740"/>
      <c r="G190" s="740"/>
      <c r="H190" s="740"/>
      <c r="I190" s="100">
        <f>SUM(I189:I189)</f>
        <v>0</v>
      </c>
      <c r="J190" s="135"/>
    </row>
    <row r="191" spans="2:10" s="107" customFormat="1" ht="30" customHeight="1">
      <c r="B191" s="691" t="s">
        <v>61</v>
      </c>
      <c r="C191" s="692"/>
      <c r="D191" s="692"/>
      <c r="E191" s="692"/>
      <c r="F191" s="692"/>
      <c r="G191" s="692"/>
      <c r="H191" s="692"/>
      <c r="I191" s="693"/>
      <c r="J191" s="60"/>
    </row>
    <row r="192" spans="2:10" s="107" customFormat="1" ht="30" customHeight="1">
      <c r="B192" s="464" t="s">
        <v>57</v>
      </c>
      <c r="C192" s="258" t="s">
        <v>68</v>
      </c>
      <c r="D192" s="177" t="s">
        <v>48</v>
      </c>
      <c r="E192" s="118"/>
      <c r="F192" s="118"/>
      <c r="G192" s="118"/>
      <c r="H192" s="258" t="s">
        <v>58</v>
      </c>
      <c r="I192" s="465" t="s">
        <v>53</v>
      </c>
      <c r="J192" s="60"/>
    </row>
    <row r="193" spans="2:12" s="107" customFormat="1" ht="30" customHeight="1">
      <c r="B193" s="508" t="s">
        <v>76</v>
      </c>
      <c r="C193" s="258" t="s">
        <v>54</v>
      </c>
      <c r="D193" s="114">
        <v>0.18</v>
      </c>
      <c r="E193" s="118"/>
      <c r="F193" s="118"/>
      <c r="G193" s="118"/>
      <c r="H193" s="53">
        <f>Insumos!D24</f>
        <v>6.53</v>
      </c>
      <c r="I193" s="164">
        <f>D193*H193</f>
        <v>1.18</v>
      </c>
      <c r="J193" s="60"/>
    </row>
    <row r="194" spans="2:12" s="107" customFormat="1" ht="30" customHeight="1">
      <c r="B194" s="730" t="s">
        <v>55</v>
      </c>
      <c r="C194" s="731"/>
      <c r="D194" s="731"/>
      <c r="E194" s="731"/>
      <c r="F194" s="731"/>
      <c r="G194" s="731"/>
      <c r="H194" s="732"/>
      <c r="I194" s="463">
        <f>SUM(I193:I193)</f>
        <v>1.18</v>
      </c>
      <c r="J194" s="135"/>
    </row>
    <row r="195" spans="2:12" s="107" customFormat="1" ht="30" customHeight="1">
      <c r="B195" s="276" t="s">
        <v>62</v>
      </c>
      <c r="C195" s="259">
        <v>1</v>
      </c>
      <c r="D195" s="740" t="s">
        <v>63</v>
      </c>
      <c r="E195" s="740"/>
      <c r="F195" s="740"/>
      <c r="G195" s="740"/>
      <c r="H195" s="740"/>
      <c r="I195" s="463">
        <f>I194+I190+I186+I182</f>
        <v>1.18</v>
      </c>
      <c r="J195" s="60"/>
    </row>
    <row r="196" spans="2:12" s="107" customFormat="1" ht="30" customHeight="1">
      <c r="B196" s="741" t="s">
        <v>77</v>
      </c>
      <c r="C196" s="717"/>
      <c r="D196" s="720"/>
      <c r="E196" s="720"/>
      <c r="F196" s="720"/>
      <c r="G196" s="720"/>
      <c r="H196" s="720"/>
      <c r="I196" s="164">
        <f>I195/C195</f>
        <v>1.18</v>
      </c>
      <c r="J196" s="60"/>
    </row>
    <row r="197" spans="2:12" s="107" customFormat="1" ht="30" customHeight="1">
      <c r="B197" s="261" t="s">
        <v>303</v>
      </c>
      <c r="C197" s="262">
        <v>25</v>
      </c>
      <c r="D197" s="733" t="s">
        <v>5</v>
      </c>
      <c r="E197" s="734"/>
      <c r="F197" s="734"/>
      <c r="G197" s="734"/>
      <c r="H197" s="735"/>
      <c r="I197" s="164">
        <f>I196/100*C197</f>
        <v>0.3</v>
      </c>
      <c r="J197" s="60"/>
    </row>
    <row r="198" spans="2:12" s="107" customFormat="1" ht="30" customHeight="1" thickBot="1">
      <c r="B198" s="727" t="s">
        <v>64</v>
      </c>
      <c r="C198" s="728"/>
      <c r="D198" s="729"/>
      <c r="E198" s="729"/>
      <c r="F198" s="729"/>
      <c r="G198" s="729"/>
      <c r="H198" s="729"/>
      <c r="I198" s="188">
        <f>I197+I196</f>
        <v>1.48</v>
      </c>
      <c r="J198" s="60"/>
    </row>
    <row r="199" spans="2:12" s="107" customFormat="1">
      <c r="B199" s="48"/>
      <c r="C199" s="48"/>
      <c r="D199" s="176"/>
      <c r="E199" s="48"/>
      <c r="F199" s="48"/>
      <c r="G199" s="48"/>
      <c r="H199" s="48"/>
      <c r="I199" s="49"/>
      <c r="J199" s="60"/>
      <c r="L199" s="107" t="s">
        <v>582</v>
      </c>
    </row>
    <row r="200" spans="2:12" s="107" customFormat="1">
      <c r="B200" s="48"/>
      <c r="C200" s="48"/>
      <c r="D200" s="176"/>
      <c r="E200" s="48"/>
      <c r="F200" s="48"/>
      <c r="G200" s="48"/>
      <c r="H200" s="48"/>
      <c r="I200" s="49"/>
      <c r="J200" s="60"/>
    </row>
    <row r="201" spans="2:12" s="107" customFormat="1" ht="13.5" thickBot="1">
      <c r="B201" s="48"/>
      <c r="C201" s="48"/>
      <c r="D201" s="176"/>
      <c r="E201" s="48"/>
      <c r="F201" s="48"/>
      <c r="G201" s="48"/>
      <c r="H201" s="48"/>
      <c r="I201" s="49"/>
      <c r="J201" s="60"/>
    </row>
    <row r="202" spans="2:12" s="107" customFormat="1" ht="30" customHeight="1" thickBot="1">
      <c r="B202" s="484" t="s">
        <v>43</v>
      </c>
      <c r="C202" s="484" t="s">
        <v>294</v>
      </c>
      <c r="D202" s="722" t="s">
        <v>45</v>
      </c>
      <c r="E202" s="722"/>
      <c r="F202" s="722"/>
      <c r="G202" s="722"/>
      <c r="H202" s="722"/>
      <c r="I202" s="723"/>
      <c r="J202" s="49"/>
    </row>
    <row r="203" spans="2:12" s="93" customFormat="1">
      <c r="B203" s="712" t="s">
        <v>704</v>
      </c>
      <c r="C203" s="713"/>
      <c r="D203" s="713"/>
      <c r="E203" s="713"/>
      <c r="F203" s="713"/>
      <c r="G203" s="714"/>
      <c r="H203" s="699" t="s">
        <v>705</v>
      </c>
      <c r="I203" s="700"/>
      <c r="J203" s="49"/>
    </row>
    <row r="204" spans="2:12" s="93" customFormat="1">
      <c r="B204" s="742" t="s">
        <v>583</v>
      </c>
      <c r="C204" s="743"/>
      <c r="D204" s="743"/>
      <c r="E204" s="743"/>
      <c r="F204" s="743"/>
      <c r="G204" s="744"/>
      <c r="H204" s="480" t="s">
        <v>66</v>
      </c>
      <c r="I204" s="184" t="s">
        <v>80</v>
      </c>
      <c r="J204" s="49"/>
    </row>
    <row r="205" spans="2:12" s="93" customFormat="1" ht="15.75">
      <c r="B205" s="691" t="s">
        <v>46</v>
      </c>
      <c r="C205" s="692"/>
      <c r="D205" s="692"/>
      <c r="E205" s="692"/>
      <c r="F205" s="692"/>
      <c r="G205" s="692"/>
      <c r="H205" s="708"/>
      <c r="I205" s="693"/>
      <c r="J205" s="49"/>
    </row>
    <row r="206" spans="2:12" s="93" customFormat="1" ht="30" customHeight="1">
      <c r="B206" s="185" t="s">
        <v>57</v>
      </c>
      <c r="C206" s="115" t="s">
        <v>68</v>
      </c>
      <c r="D206" s="116" t="s">
        <v>48</v>
      </c>
      <c r="E206" s="116" t="s">
        <v>49</v>
      </c>
      <c r="F206" s="116" t="s">
        <v>50</v>
      </c>
      <c r="G206" s="117" t="s">
        <v>51</v>
      </c>
      <c r="H206" s="117" t="s">
        <v>52</v>
      </c>
      <c r="I206" s="186" t="s">
        <v>53</v>
      </c>
      <c r="J206" s="169"/>
    </row>
    <row r="207" spans="2:12" s="93" customFormat="1" ht="30" customHeight="1">
      <c r="B207" s="183"/>
      <c r="C207" s="179"/>
      <c r="D207" s="180"/>
      <c r="E207" s="114"/>
      <c r="F207" s="114"/>
      <c r="G207" s="55"/>
      <c r="H207" s="55"/>
      <c r="I207" s="100">
        <f>D207*E207*G207+D207*F207*H207</f>
        <v>0</v>
      </c>
      <c r="J207" s="49"/>
    </row>
    <row r="208" spans="2:12" s="107" customFormat="1" ht="30" customHeight="1">
      <c r="B208" s="212"/>
      <c r="C208" s="179"/>
      <c r="D208" s="180"/>
      <c r="E208" s="114"/>
      <c r="F208" s="114"/>
      <c r="G208" s="55"/>
      <c r="H208" s="55"/>
      <c r="I208" s="100">
        <f>D208*E208*G208+D208*F208*H208</f>
        <v>0</v>
      </c>
      <c r="J208" s="134"/>
    </row>
    <row r="209" spans="2:12" s="93" customFormat="1" ht="30" customHeight="1">
      <c r="B209" s="704" t="s">
        <v>55</v>
      </c>
      <c r="C209" s="705"/>
      <c r="D209" s="705"/>
      <c r="E209" s="705"/>
      <c r="F209" s="705"/>
      <c r="G209" s="705"/>
      <c r="H209" s="705"/>
      <c r="I209" s="163">
        <f>SUM(I207:I208)</f>
        <v>0</v>
      </c>
      <c r="J209" s="49"/>
    </row>
    <row r="210" spans="2:12" s="103" customFormat="1" ht="30" customHeight="1">
      <c r="B210" s="691" t="s">
        <v>56</v>
      </c>
      <c r="C210" s="692"/>
      <c r="D210" s="692"/>
      <c r="E210" s="692"/>
      <c r="F210" s="692"/>
      <c r="G210" s="692"/>
      <c r="H210" s="692"/>
      <c r="I210" s="693"/>
      <c r="J210" s="544"/>
    </row>
    <row r="211" spans="2:12" s="93" customFormat="1" ht="30" customHeight="1">
      <c r="B211" s="447" t="s">
        <v>57</v>
      </c>
      <c r="C211" s="53" t="s">
        <v>68</v>
      </c>
      <c r="D211" s="177" t="s">
        <v>48</v>
      </c>
      <c r="E211" s="118"/>
      <c r="F211" s="118"/>
      <c r="G211" s="118"/>
      <c r="H211" s="58" t="s">
        <v>58</v>
      </c>
      <c r="I211" s="187" t="s">
        <v>53</v>
      </c>
      <c r="J211" s="49"/>
    </row>
    <row r="212" spans="2:12" s="107" customFormat="1" ht="30" customHeight="1">
      <c r="B212" s="212" t="s">
        <v>287</v>
      </c>
      <c r="C212" s="53" t="s">
        <v>116</v>
      </c>
      <c r="D212" s="177">
        <v>1.7999999999999999E-2</v>
      </c>
      <c r="E212" s="118"/>
      <c r="F212" s="118"/>
      <c r="G212" s="118"/>
      <c r="H212" s="53">
        <f>Insumos!D100</f>
        <v>8.5</v>
      </c>
      <c r="I212" s="100">
        <f>H212*D212</f>
        <v>0.15</v>
      </c>
      <c r="J212" s="49"/>
    </row>
    <row r="213" spans="2:12" s="107" customFormat="1" ht="30" customHeight="1">
      <c r="B213" s="183" t="s">
        <v>288</v>
      </c>
      <c r="C213" s="53" t="s">
        <v>71</v>
      </c>
      <c r="D213" s="177">
        <v>3.2000000000000001E-2</v>
      </c>
      <c r="E213" s="118"/>
      <c r="F213" s="118"/>
      <c r="G213" s="118"/>
      <c r="H213" s="53">
        <f>Insumos!D90</f>
        <v>5.26</v>
      </c>
      <c r="I213" s="100">
        <f>H213*D213</f>
        <v>0.17</v>
      </c>
      <c r="J213" s="49"/>
    </row>
    <row r="214" spans="2:12" s="107" customFormat="1" ht="30" customHeight="1">
      <c r="B214" s="183" t="s">
        <v>289</v>
      </c>
      <c r="C214" s="53" t="s">
        <v>71</v>
      </c>
      <c r="D214" s="177">
        <v>0.03</v>
      </c>
      <c r="E214" s="118"/>
      <c r="F214" s="118"/>
      <c r="G214" s="118"/>
      <c r="H214" s="53">
        <f>Insumos!D102</f>
        <v>4.7</v>
      </c>
      <c r="I214" s="100">
        <f>H214*D214</f>
        <v>0.14000000000000001</v>
      </c>
      <c r="J214" s="49"/>
    </row>
    <row r="215" spans="2:12" s="107" customFormat="1" ht="30" customHeight="1">
      <c r="B215" s="271" t="s">
        <v>290</v>
      </c>
      <c r="C215" s="53" t="s">
        <v>116</v>
      </c>
      <c r="D215" s="114">
        <v>0.01</v>
      </c>
      <c r="E215" s="118"/>
      <c r="F215" s="118"/>
      <c r="G215" s="118"/>
      <c r="H215" s="53">
        <f>Insumos!D55</f>
        <v>7</v>
      </c>
      <c r="I215" s="100">
        <f>H215*D215</f>
        <v>7.0000000000000007E-2</v>
      </c>
      <c r="J215" s="49"/>
    </row>
    <row r="216" spans="2:12" s="107" customFormat="1" ht="30" customHeight="1">
      <c r="B216" s="689" t="s">
        <v>55</v>
      </c>
      <c r="C216" s="690"/>
      <c r="D216" s="690"/>
      <c r="E216" s="690"/>
      <c r="F216" s="690"/>
      <c r="G216" s="690"/>
      <c r="H216" s="690"/>
      <c r="I216" s="100">
        <f>SUM(I212:I215)</f>
        <v>0.53</v>
      </c>
      <c r="J216" s="49"/>
    </row>
    <row r="217" spans="2:12" s="107" customFormat="1" ht="30" customHeight="1">
      <c r="B217" s="691" t="s">
        <v>60</v>
      </c>
      <c r="C217" s="692"/>
      <c r="D217" s="692"/>
      <c r="E217" s="692"/>
      <c r="F217" s="692"/>
      <c r="G217" s="692"/>
      <c r="H217" s="692"/>
      <c r="I217" s="693"/>
      <c r="J217" s="49"/>
    </row>
    <row r="218" spans="2:12" s="107" customFormat="1" ht="30" customHeight="1">
      <c r="B218" s="182" t="s">
        <v>57</v>
      </c>
      <c r="C218" s="54" t="s">
        <v>68</v>
      </c>
      <c r="D218" s="58" t="s">
        <v>48</v>
      </c>
      <c r="E218" s="52"/>
      <c r="F218" s="52"/>
      <c r="G218" s="52"/>
      <c r="H218" s="58" t="s">
        <v>58</v>
      </c>
      <c r="I218" s="187" t="s">
        <v>53</v>
      </c>
      <c r="J218" s="49"/>
    </row>
    <row r="219" spans="2:12" s="107" customFormat="1" ht="30" customHeight="1">
      <c r="B219" s="119"/>
      <c r="C219" s="179"/>
      <c r="D219" s="543"/>
      <c r="E219" s="52"/>
      <c r="F219" s="118"/>
      <c r="G219" s="118"/>
      <c r="H219" s="55"/>
      <c r="I219" s="100">
        <f>D219*H219</f>
        <v>0</v>
      </c>
      <c r="J219" s="49"/>
    </row>
    <row r="220" spans="2:12" s="107" customFormat="1" ht="30" customHeight="1">
      <c r="B220" s="689" t="s">
        <v>55</v>
      </c>
      <c r="C220" s="690"/>
      <c r="D220" s="690"/>
      <c r="E220" s="690"/>
      <c r="F220" s="690"/>
      <c r="G220" s="690"/>
      <c r="H220" s="690"/>
      <c r="I220" s="100">
        <f>SUM(I219:I219)</f>
        <v>0</v>
      </c>
      <c r="J220" s="49"/>
    </row>
    <row r="221" spans="2:12" s="107" customFormat="1" ht="30" customHeight="1">
      <c r="B221" s="691" t="s">
        <v>61</v>
      </c>
      <c r="C221" s="692"/>
      <c r="D221" s="692"/>
      <c r="E221" s="692"/>
      <c r="F221" s="692"/>
      <c r="G221" s="692"/>
      <c r="H221" s="692"/>
      <c r="I221" s="693"/>
      <c r="J221" s="49"/>
    </row>
    <row r="222" spans="2:12" s="107" customFormat="1" ht="30" customHeight="1">
      <c r="B222" s="447" t="s">
        <v>57</v>
      </c>
      <c r="C222" s="53" t="s">
        <v>68</v>
      </c>
      <c r="D222" s="177" t="s">
        <v>48</v>
      </c>
      <c r="E222" s="118"/>
      <c r="F222" s="118"/>
      <c r="G222" s="118"/>
      <c r="H222" s="58" t="s">
        <v>58</v>
      </c>
      <c r="I222" s="187" t="s">
        <v>53</v>
      </c>
      <c r="J222" s="49"/>
    </row>
    <row r="223" spans="2:12" s="107" customFormat="1" ht="30" customHeight="1">
      <c r="B223" s="271" t="s">
        <v>75</v>
      </c>
      <c r="C223" s="53" t="s">
        <v>54</v>
      </c>
      <c r="D223" s="114">
        <v>0.09</v>
      </c>
      <c r="E223" s="118"/>
      <c r="F223" s="118"/>
      <c r="G223" s="118"/>
      <c r="H223" s="53">
        <f>Insumos!D20</f>
        <v>8.69</v>
      </c>
      <c r="I223" s="100">
        <f>D223*H223</f>
        <v>0.78</v>
      </c>
      <c r="J223" s="49"/>
      <c r="L223" s="107" t="s">
        <v>581</v>
      </c>
    </row>
    <row r="224" spans="2:12" s="107" customFormat="1" ht="30" customHeight="1">
      <c r="B224" s="271" t="s">
        <v>76</v>
      </c>
      <c r="C224" s="53" t="s">
        <v>54</v>
      </c>
      <c r="D224" s="114">
        <v>0.1</v>
      </c>
      <c r="E224" s="58"/>
      <c r="F224" s="118"/>
      <c r="G224" s="118"/>
      <c r="H224" s="53">
        <f>Insumos!D24</f>
        <v>6.53</v>
      </c>
      <c r="I224" s="100">
        <f>D224*H224</f>
        <v>0.65</v>
      </c>
      <c r="J224" s="49"/>
    </row>
    <row r="225" spans="2:19" s="434" customFormat="1" ht="30" customHeight="1">
      <c r="B225" s="689" t="s">
        <v>55</v>
      </c>
      <c r="C225" s="690"/>
      <c r="D225" s="690"/>
      <c r="E225" s="690"/>
      <c r="F225" s="690"/>
      <c r="G225" s="690"/>
      <c r="H225" s="690"/>
      <c r="I225" s="163">
        <f>SUM(I223:I224)</f>
        <v>1.43</v>
      </c>
      <c r="J225" s="60"/>
      <c r="K225" s="457"/>
      <c r="L225" s="750"/>
      <c r="M225" s="750"/>
      <c r="N225" s="750"/>
      <c r="O225" s="750"/>
      <c r="P225" s="750"/>
      <c r="Q225" s="750"/>
      <c r="R225" s="283"/>
      <c r="S225" s="283"/>
    </row>
    <row r="226" spans="2:19" s="434" customFormat="1" ht="30" customHeight="1">
      <c r="B226" s="99" t="s">
        <v>62</v>
      </c>
      <c r="C226" s="54">
        <v>1</v>
      </c>
      <c r="D226" s="690" t="s">
        <v>63</v>
      </c>
      <c r="E226" s="690"/>
      <c r="F226" s="690"/>
      <c r="G226" s="690"/>
      <c r="H226" s="690"/>
      <c r="I226" s="163">
        <f>I225+I220+I216+I209</f>
        <v>1.96</v>
      </c>
      <c r="J226" s="60"/>
      <c r="K226" s="457"/>
      <c r="L226" s="751"/>
      <c r="M226" s="751"/>
      <c r="N226" s="751"/>
      <c r="O226" s="751"/>
      <c r="P226" s="751"/>
      <c r="Q226" s="751"/>
      <c r="R226" s="751"/>
      <c r="S226" s="751"/>
    </row>
    <row r="227" spans="2:19" s="434" customFormat="1" ht="30" customHeight="1">
      <c r="B227" s="716" t="s">
        <v>77</v>
      </c>
      <c r="C227" s="717"/>
      <c r="D227" s="717"/>
      <c r="E227" s="717"/>
      <c r="F227" s="717"/>
      <c r="G227" s="717"/>
      <c r="H227" s="717"/>
      <c r="I227" s="100">
        <f>I226/C226</f>
        <v>1.96</v>
      </c>
      <c r="J227" s="60"/>
      <c r="K227" s="457"/>
      <c r="L227" s="458"/>
      <c r="M227" s="458"/>
      <c r="N227" s="459"/>
      <c r="O227" s="460"/>
      <c r="P227" s="460"/>
      <c r="Q227" s="461"/>
      <c r="R227" s="461"/>
      <c r="S227" s="458"/>
    </row>
    <row r="228" spans="2:19" s="434" customFormat="1" ht="30" customHeight="1">
      <c r="B228" s="101" t="s">
        <v>113</v>
      </c>
      <c r="C228" s="129">
        <v>25</v>
      </c>
      <c r="D228" s="720" t="s">
        <v>5</v>
      </c>
      <c r="E228" s="720"/>
      <c r="F228" s="720"/>
      <c r="G228" s="720"/>
      <c r="H228" s="720"/>
      <c r="I228" s="102">
        <f>C228/100*I227</f>
        <v>0.49</v>
      </c>
      <c r="J228" s="60"/>
      <c r="K228" s="457"/>
      <c r="L228" s="537"/>
      <c r="M228" s="538"/>
      <c r="N228" s="539"/>
      <c r="O228" s="136"/>
      <c r="P228" s="136"/>
      <c r="Q228" s="461"/>
      <c r="R228" s="461"/>
      <c r="S228" s="286"/>
    </row>
    <row r="229" spans="2:19" ht="16.5" thickBot="1">
      <c r="B229" s="759" t="s">
        <v>64</v>
      </c>
      <c r="C229" s="760"/>
      <c r="D229" s="760"/>
      <c r="E229" s="760"/>
      <c r="F229" s="760"/>
      <c r="G229" s="760"/>
      <c r="H229" s="760"/>
      <c r="I229" s="188">
        <f>I228+I227</f>
        <v>2.4500000000000002</v>
      </c>
      <c r="J229" s="96"/>
      <c r="K229" s="280"/>
      <c r="L229" s="752"/>
      <c r="M229" s="752"/>
      <c r="N229" s="752"/>
      <c r="O229" s="752"/>
      <c r="P229" s="752"/>
      <c r="Q229" s="752"/>
      <c r="R229" s="752"/>
      <c r="S229" s="139"/>
    </row>
    <row r="230" spans="2:19">
      <c r="B230" s="48"/>
      <c r="C230" s="48"/>
      <c r="D230" s="176"/>
      <c r="E230" s="48"/>
      <c r="F230" s="48"/>
      <c r="G230" s="48"/>
      <c r="H230" s="48"/>
      <c r="I230" s="49"/>
      <c r="J230" s="96"/>
      <c r="K230" s="280"/>
      <c r="L230" s="607"/>
      <c r="M230" s="607"/>
      <c r="N230" s="607"/>
      <c r="O230" s="607"/>
      <c r="P230" s="607"/>
      <c r="Q230" s="607"/>
      <c r="R230" s="607"/>
      <c r="S230" s="139"/>
    </row>
    <row r="231" spans="2:19">
      <c r="B231" s="48"/>
      <c r="C231" s="48"/>
      <c r="D231" s="176"/>
      <c r="E231" s="48"/>
      <c r="F231" s="48"/>
      <c r="G231" s="48"/>
      <c r="H231" s="48"/>
      <c r="I231" s="49"/>
      <c r="J231" s="96"/>
      <c r="K231" s="280"/>
      <c r="L231" s="607"/>
      <c r="M231" s="607"/>
      <c r="N231" s="607"/>
      <c r="O231" s="607"/>
      <c r="P231" s="607"/>
      <c r="Q231" s="607"/>
      <c r="R231" s="607"/>
      <c r="S231" s="139"/>
    </row>
    <row r="232" spans="2:19" s="93" customFormat="1" ht="13.5" thickBot="1">
      <c r="B232" s="48"/>
      <c r="C232" s="48"/>
      <c r="D232" s="176"/>
      <c r="E232" s="48"/>
      <c r="F232" s="48"/>
      <c r="G232" s="48"/>
      <c r="H232" s="48"/>
      <c r="I232" s="49"/>
      <c r="J232" s="169"/>
    </row>
    <row r="233" spans="2:19" s="93" customFormat="1" ht="30" customHeight="1" thickBot="1">
      <c r="B233" s="484" t="s">
        <v>43</v>
      </c>
      <c r="C233" s="484" t="s">
        <v>740</v>
      </c>
      <c r="D233" s="722" t="s">
        <v>45</v>
      </c>
      <c r="E233" s="722"/>
      <c r="F233" s="722"/>
      <c r="G233" s="722"/>
      <c r="H233" s="722"/>
      <c r="I233" s="723"/>
      <c r="J233" s="49"/>
    </row>
    <row r="234" spans="2:19" s="107" customFormat="1" ht="30" customHeight="1">
      <c r="B234" s="712" t="s">
        <v>704</v>
      </c>
      <c r="C234" s="713"/>
      <c r="D234" s="713"/>
      <c r="E234" s="713"/>
      <c r="F234" s="713"/>
      <c r="G234" s="714"/>
      <c r="H234" s="699" t="s">
        <v>705</v>
      </c>
      <c r="I234" s="700"/>
      <c r="J234" s="134"/>
    </row>
    <row r="235" spans="2:19" s="93" customFormat="1" ht="30" customHeight="1">
      <c r="B235" s="742" t="s">
        <v>741</v>
      </c>
      <c r="C235" s="743"/>
      <c r="D235" s="743"/>
      <c r="E235" s="743"/>
      <c r="F235" s="743"/>
      <c r="G235" s="744"/>
      <c r="H235" s="480" t="s">
        <v>66</v>
      </c>
      <c r="I235" s="184" t="s">
        <v>716</v>
      </c>
      <c r="J235" s="49"/>
    </row>
    <row r="236" spans="2:19" s="103" customFormat="1" ht="30" customHeight="1">
      <c r="B236" s="745" t="s">
        <v>46</v>
      </c>
      <c r="C236" s="746"/>
      <c r="D236" s="746"/>
      <c r="E236" s="746"/>
      <c r="F236" s="746"/>
      <c r="G236" s="746"/>
      <c r="H236" s="746"/>
      <c r="I236" s="747"/>
      <c r="J236" s="544"/>
    </row>
    <row r="237" spans="2:19" s="93" customFormat="1" ht="30" customHeight="1">
      <c r="B237" s="185" t="s">
        <v>57</v>
      </c>
      <c r="C237" s="115" t="s">
        <v>68</v>
      </c>
      <c r="D237" s="116" t="s">
        <v>48</v>
      </c>
      <c r="E237" s="116" t="s">
        <v>49</v>
      </c>
      <c r="F237" s="116" t="s">
        <v>50</v>
      </c>
      <c r="G237" s="117" t="s">
        <v>51</v>
      </c>
      <c r="H237" s="117" t="s">
        <v>52</v>
      </c>
      <c r="I237" s="186" t="s">
        <v>53</v>
      </c>
      <c r="J237" s="49"/>
    </row>
    <row r="238" spans="2:19" s="93" customFormat="1" ht="30" customHeight="1">
      <c r="B238" s="609" t="s">
        <v>725</v>
      </c>
      <c r="C238" s="584" t="s">
        <v>54</v>
      </c>
      <c r="D238" s="585">
        <v>1</v>
      </c>
      <c r="E238" s="256">
        <v>3.0000000000000001E-3</v>
      </c>
      <c r="F238" s="256"/>
      <c r="G238" s="342">
        <f>Insumos!D136</f>
        <v>181.88</v>
      </c>
      <c r="H238" s="342"/>
      <c r="I238" s="122">
        <f t="shared" ref="I238" si="5">D238*E238*G238+D238*F238*H238</f>
        <v>0.55000000000000004</v>
      </c>
      <c r="J238" s="49"/>
    </row>
    <row r="239" spans="2:19" s="93" customFormat="1" ht="30" customHeight="1">
      <c r="B239" s="799" t="s">
        <v>55</v>
      </c>
      <c r="C239" s="800"/>
      <c r="D239" s="800"/>
      <c r="E239" s="800"/>
      <c r="F239" s="800"/>
      <c r="G239" s="800"/>
      <c r="H239" s="800"/>
      <c r="I239" s="346">
        <f>SUM(I238:I238)</f>
        <v>0.55000000000000004</v>
      </c>
      <c r="J239" s="49"/>
    </row>
    <row r="240" spans="2:19" s="107" customFormat="1" ht="30" customHeight="1">
      <c r="B240" s="745" t="s">
        <v>56</v>
      </c>
      <c r="C240" s="746"/>
      <c r="D240" s="746"/>
      <c r="E240" s="746"/>
      <c r="F240" s="746"/>
      <c r="G240" s="746"/>
      <c r="H240" s="746"/>
      <c r="I240" s="747"/>
      <c r="J240" s="49"/>
    </row>
    <row r="241" spans="2:19" s="107" customFormat="1" ht="48" customHeight="1">
      <c r="B241" s="592" t="s">
        <v>57</v>
      </c>
      <c r="C241" s="255" t="s">
        <v>68</v>
      </c>
      <c r="D241" s="341" t="s">
        <v>48</v>
      </c>
      <c r="E241" s="341"/>
      <c r="F241" s="341"/>
      <c r="G241" s="341"/>
      <c r="H241" s="255" t="s">
        <v>58</v>
      </c>
      <c r="I241" s="593" t="s">
        <v>53</v>
      </c>
      <c r="J241" s="49"/>
    </row>
    <row r="242" spans="2:19" s="107" customFormat="1" ht="30" customHeight="1">
      <c r="B242" s="594"/>
      <c r="C242" s="586"/>
      <c r="D242" s="587"/>
      <c r="E242" s="341"/>
      <c r="F242" s="341"/>
      <c r="G242" s="341"/>
      <c r="H242" s="588"/>
      <c r="I242" s="122">
        <f>D242*H242</f>
        <v>0</v>
      </c>
      <c r="J242" s="49"/>
    </row>
    <row r="243" spans="2:19" s="107" customFormat="1" ht="30" customHeight="1">
      <c r="B243" s="694" t="s">
        <v>55</v>
      </c>
      <c r="C243" s="695"/>
      <c r="D243" s="695"/>
      <c r="E243" s="695"/>
      <c r="F243" s="695"/>
      <c r="G243" s="695"/>
      <c r="H243" s="695"/>
      <c r="I243" s="595">
        <f>SUM(I242:I242)</f>
        <v>0</v>
      </c>
      <c r="J243" s="49"/>
    </row>
    <row r="244" spans="2:19" s="107" customFormat="1" ht="30" customHeight="1">
      <c r="B244" s="803" t="s">
        <v>60</v>
      </c>
      <c r="C244" s="804"/>
      <c r="D244" s="804"/>
      <c r="E244" s="804"/>
      <c r="F244" s="804"/>
      <c r="G244" s="804"/>
      <c r="H244" s="804"/>
      <c r="I244" s="805"/>
      <c r="J244" s="49"/>
    </row>
    <row r="245" spans="2:19" s="107" customFormat="1" ht="30" customHeight="1">
      <c r="B245" s="347" t="s">
        <v>57</v>
      </c>
      <c r="C245" s="608" t="s">
        <v>68</v>
      </c>
      <c r="D245" s="608" t="s">
        <v>48</v>
      </c>
      <c r="E245" s="608"/>
      <c r="F245" s="608"/>
      <c r="G245" s="608"/>
      <c r="H245" s="337" t="s">
        <v>58</v>
      </c>
      <c r="I245" s="596" t="s">
        <v>53</v>
      </c>
      <c r="J245" s="49"/>
    </row>
    <row r="246" spans="2:19" s="107" customFormat="1" ht="30" customHeight="1">
      <c r="B246" s="348"/>
      <c r="C246" s="584"/>
      <c r="D246" s="589"/>
      <c r="E246" s="608"/>
      <c r="F246" s="344"/>
      <c r="G246" s="344"/>
      <c r="H246" s="55"/>
      <c r="I246" s="595"/>
      <c r="J246" s="49"/>
    </row>
    <row r="247" spans="2:19" s="107" customFormat="1" ht="30" customHeight="1">
      <c r="B247" s="806" t="s">
        <v>55</v>
      </c>
      <c r="C247" s="807"/>
      <c r="D247" s="807"/>
      <c r="E247" s="807"/>
      <c r="F247" s="807"/>
      <c r="G247" s="807"/>
      <c r="H247" s="808"/>
      <c r="I247" s="595">
        <f>SUM(I246:I246)</f>
        <v>0</v>
      </c>
      <c r="J247" s="49"/>
    </row>
    <row r="248" spans="2:19" s="107" customFormat="1" ht="30" customHeight="1">
      <c r="B248" s="745" t="s">
        <v>61</v>
      </c>
      <c r="C248" s="746"/>
      <c r="D248" s="746"/>
      <c r="E248" s="746"/>
      <c r="F248" s="746"/>
      <c r="G248" s="746"/>
      <c r="H248" s="746"/>
      <c r="I248" s="747"/>
      <c r="J248" s="49"/>
    </row>
    <row r="249" spans="2:19" s="107" customFormat="1" ht="30" customHeight="1">
      <c r="B249" s="592" t="s">
        <v>57</v>
      </c>
      <c r="C249" s="255" t="s">
        <v>68</v>
      </c>
      <c r="D249" s="341" t="s">
        <v>48</v>
      </c>
      <c r="E249" s="341"/>
      <c r="F249" s="341"/>
      <c r="G249" s="341"/>
      <c r="H249" s="255" t="s">
        <v>58</v>
      </c>
      <c r="I249" s="593" t="s">
        <v>53</v>
      </c>
      <c r="J249" s="49"/>
    </row>
    <row r="250" spans="2:19" s="107" customFormat="1" ht="30" customHeight="1">
      <c r="B250" s="610"/>
      <c r="C250" s="53"/>
      <c r="D250" s="536"/>
      <c r="E250" s="590"/>
      <c r="F250" s="591"/>
      <c r="G250" s="591"/>
      <c r="H250" s="53"/>
      <c r="I250" s="100"/>
      <c r="J250" s="49"/>
    </row>
    <row r="251" spans="2:19" s="107" customFormat="1" ht="30" customHeight="1">
      <c r="B251" s="694" t="s">
        <v>55</v>
      </c>
      <c r="C251" s="695"/>
      <c r="D251" s="695"/>
      <c r="E251" s="695"/>
      <c r="F251" s="695"/>
      <c r="G251" s="695"/>
      <c r="H251" s="695"/>
      <c r="I251" s="346">
        <f>SUM(I250:I250)</f>
        <v>0</v>
      </c>
      <c r="J251" s="49"/>
    </row>
    <row r="252" spans="2:19" s="107" customFormat="1" ht="30" customHeight="1">
      <c r="B252" s="99" t="s">
        <v>62</v>
      </c>
      <c r="C252" s="54">
        <v>1</v>
      </c>
      <c r="D252" s="690" t="s">
        <v>63</v>
      </c>
      <c r="E252" s="690"/>
      <c r="F252" s="690"/>
      <c r="G252" s="690"/>
      <c r="H252" s="690"/>
      <c r="I252" s="163">
        <f>I251+I247+I243+I239</f>
        <v>0.55000000000000004</v>
      </c>
      <c r="J252" s="49"/>
    </row>
    <row r="253" spans="2:19" s="107" customFormat="1" ht="30" customHeight="1">
      <c r="B253" s="716" t="s">
        <v>77</v>
      </c>
      <c r="C253" s="717"/>
      <c r="D253" s="717"/>
      <c r="E253" s="717"/>
      <c r="F253" s="717"/>
      <c r="G253" s="717"/>
      <c r="H253" s="717"/>
      <c r="I253" s="100">
        <f>I252/C252</f>
        <v>0.55000000000000004</v>
      </c>
      <c r="J253" s="49"/>
      <c r="L253" s="107" t="s">
        <v>581</v>
      </c>
    </row>
    <row r="254" spans="2:19" s="107" customFormat="1" ht="30" customHeight="1">
      <c r="B254" s="101" t="s">
        <v>113</v>
      </c>
      <c r="C254" s="129">
        <v>25</v>
      </c>
      <c r="D254" s="720" t="s">
        <v>5</v>
      </c>
      <c r="E254" s="720"/>
      <c r="F254" s="720"/>
      <c r="G254" s="720"/>
      <c r="H254" s="720"/>
      <c r="I254" s="102">
        <f>C254/100*I253</f>
        <v>0.14000000000000001</v>
      </c>
      <c r="J254" s="49"/>
    </row>
    <row r="255" spans="2:19" s="434" customFormat="1" ht="30" customHeight="1" thickBot="1">
      <c r="B255" s="702" t="s">
        <v>64</v>
      </c>
      <c r="C255" s="703"/>
      <c r="D255" s="703"/>
      <c r="E255" s="703"/>
      <c r="F255" s="703"/>
      <c r="G255" s="703"/>
      <c r="H255" s="703"/>
      <c r="I255" s="188">
        <f>I254+I253</f>
        <v>0.69</v>
      </c>
      <c r="J255" s="60"/>
      <c r="K255" s="457"/>
      <c r="L255" s="750"/>
      <c r="M255" s="750"/>
      <c r="N255" s="750"/>
      <c r="O255" s="750"/>
      <c r="P255" s="750"/>
      <c r="Q255" s="750"/>
      <c r="R255" s="283"/>
      <c r="S255" s="283"/>
    </row>
    <row r="256" spans="2:19" s="434" customFormat="1">
      <c r="B256" s="48"/>
      <c r="C256" s="48"/>
      <c r="D256" s="176"/>
      <c r="E256" s="48"/>
      <c r="F256" s="48"/>
      <c r="G256" s="48"/>
      <c r="H256" s="48"/>
      <c r="I256" s="49"/>
      <c r="J256" s="60"/>
      <c r="K256" s="457"/>
      <c r="L256" s="751"/>
      <c r="M256" s="751"/>
      <c r="N256" s="751"/>
      <c r="O256" s="751"/>
      <c r="P256" s="751"/>
      <c r="Q256" s="751"/>
      <c r="R256" s="751"/>
      <c r="S256" s="751"/>
    </row>
    <row r="257" spans="2:19" s="434" customFormat="1">
      <c r="B257" s="48"/>
      <c r="C257" s="48"/>
      <c r="D257" s="176"/>
      <c r="E257" s="48"/>
      <c r="F257" s="48"/>
      <c r="G257" s="48"/>
      <c r="H257" s="48"/>
      <c r="I257" s="49"/>
      <c r="J257" s="60"/>
      <c r="K257" s="457"/>
      <c r="L257" s="458"/>
      <c r="M257" s="458"/>
      <c r="N257" s="459"/>
      <c r="O257" s="460"/>
      <c r="P257" s="460"/>
      <c r="Q257" s="461"/>
      <c r="R257" s="461"/>
      <c r="S257" s="458"/>
    </row>
    <row r="258" spans="2:19" s="434" customFormat="1" ht="13.5" thickBot="1">
      <c r="B258" s="48"/>
      <c r="C258" s="48"/>
      <c r="D258" s="176"/>
      <c r="E258" s="48"/>
      <c r="F258" s="48"/>
      <c r="G258" s="48"/>
      <c r="H258" s="48"/>
      <c r="I258" s="49"/>
      <c r="J258" s="60"/>
      <c r="K258" s="457"/>
      <c r="L258" s="537"/>
      <c r="M258" s="538"/>
      <c r="N258" s="539"/>
      <c r="O258" s="136"/>
      <c r="P258" s="136"/>
      <c r="Q258" s="461"/>
      <c r="R258" s="461"/>
      <c r="S258" s="286"/>
    </row>
    <row r="259" spans="2:19" ht="16.5" thickBot="1">
      <c r="B259" s="484" t="s">
        <v>43</v>
      </c>
      <c r="C259" s="484" t="s">
        <v>717</v>
      </c>
      <c r="D259" s="722" t="s">
        <v>45</v>
      </c>
      <c r="E259" s="722"/>
      <c r="F259" s="722"/>
      <c r="G259" s="722"/>
      <c r="H259" s="722"/>
      <c r="I259" s="723"/>
      <c r="J259" s="96"/>
      <c r="K259" s="280"/>
      <c r="L259" s="752"/>
      <c r="M259" s="752"/>
      <c r="N259" s="752"/>
      <c r="O259" s="752"/>
      <c r="P259" s="752"/>
      <c r="Q259" s="752"/>
      <c r="R259" s="752"/>
      <c r="S259" s="139"/>
    </row>
    <row r="260" spans="2:19">
      <c r="B260" s="712" t="s">
        <v>704</v>
      </c>
      <c r="C260" s="713"/>
      <c r="D260" s="713"/>
      <c r="E260" s="713"/>
      <c r="F260" s="713"/>
      <c r="G260" s="714"/>
      <c r="H260" s="699" t="s">
        <v>705</v>
      </c>
      <c r="I260" s="700"/>
      <c r="J260" s="96"/>
      <c r="K260" s="280"/>
      <c r="L260" s="575"/>
      <c r="M260" s="575"/>
      <c r="N260" s="575"/>
      <c r="O260" s="575"/>
      <c r="P260" s="575"/>
      <c r="Q260" s="575"/>
      <c r="R260" s="575"/>
      <c r="S260" s="139"/>
    </row>
    <row r="261" spans="2:19">
      <c r="B261" s="742" t="s">
        <v>742</v>
      </c>
      <c r="C261" s="743"/>
      <c r="D261" s="743"/>
      <c r="E261" s="743"/>
      <c r="F261" s="743"/>
      <c r="G261" s="744"/>
      <c r="H261" s="480" t="s">
        <v>66</v>
      </c>
      <c r="I261" s="184" t="s">
        <v>716</v>
      </c>
      <c r="J261" s="96"/>
      <c r="K261" s="280"/>
      <c r="L261" s="575"/>
      <c r="M261" s="575"/>
      <c r="N261" s="575"/>
      <c r="O261" s="575"/>
      <c r="P261" s="575"/>
      <c r="Q261" s="575"/>
      <c r="R261" s="575"/>
      <c r="S261" s="139"/>
    </row>
    <row r="262" spans="2:19" s="93" customFormat="1" ht="30" customHeight="1">
      <c r="B262" s="745" t="s">
        <v>46</v>
      </c>
      <c r="C262" s="746"/>
      <c r="D262" s="746"/>
      <c r="E262" s="746"/>
      <c r="F262" s="746"/>
      <c r="G262" s="746"/>
      <c r="H262" s="746"/>
      <c r="I262" s="747"/>
      <c r="J262" s="49"/>
    </row>
    <row r="263" spans="2:19" s="93" customFormat="1" ht="30" customHeight="1">
      <c r="B263" s="185" t="s">
        <v>57</v>
      </c>
      <c r="C263" s="115" t="s">
        <v>68</v>
      </c>
      <c r="D263" s="116" t="s">
        <v>48</v>
      </c>
      <c r="E263" s="116" t="s">
        <v>49</v>
      </c>
      <c r="F263" s="116" t="s">
        <v>50</v>
      </c>
      <c r="G263" s="117" t="s">
        <v>51</v>
      </c>
      <c r="H263" s="117" t="s">
        <v>52</v>
      </c>
      <c r="I263" s="186" t="s">
        <v>53</v>
      </c>
      <c r="J263" s="49"/>
    </row>
    <row r="264" spans="2:19" s="107" customFormat="1" ht="30" customHeight="1">
      <c r="B264" s="572" t="s">
        <v>723</v>
      </c>
      <c r="C264" s="584" t="s">
        <v>54</v>
      </c>
      <c r="D264" s="585">
        <v>1</v>
      </c>
      <c r="E264" s="256">
        <v>2.0999999999999999E-3</v>
      </c>
      <c r="F264" s="256">
        <f>E264</f>
        <v>2.0999999999999999E-3</v>
      </c>
      <c r="G264" s="342">
        <f>Insumos!D134</f>
        <v>112.38</v>
      </c>
      <c r="H264" s="342">
        <f>Insumos!D135</f>
        <v>42.65</v>
      </c>
      <c r="I264" s="122">
        <f t="shared" ref="I264:I268" si="6">D264*E264*G264+D264*F264*H264</f>
        <v>0.33</v>
      </c>
      <c r="J264" s="49"/>
    </row>
    <row r="265" spans="2:19" s="107" customFormat="1" ht="30" customHeight="1">
      <c r="B265" s="572" t="s">
        <v>725</v>
      </c>
      <c r="C265" s="584" t="s">
        <v>54</v>
      </c>
      <c r="D265" s="585">
        <v>1</v>
      </c>
      <c r="E265" s="256">
        <v>1.6000000000000001E-3</v>
      </c>
      <c r="F265" s="256">
        <v>2.8E-3</v>
      </c>
      <c r="G265" s="342">
        <f>Insumos!D136</f>
        <v>181.88</v>
      </c>
      <c r="H265" s="342">
        <f>Insumos!D137</f>
        <v>83.22</v>
      </c>
      <c r="I265" s="122">
        <f t="shared" si="6"/>
        <v>0.52</v>
      </c>
      <c r="J265" s="49"/>
    </row>
    <row r="266" spans="2:19" s="107" customFormat="1" ht="30" customHeight="1">
      <c r="B266" s="572" t="s">
        <v>726</v>
      </c>
      <c r="C266" s="584" t="s">
        <v>54</v>
      </c>
      <c r="D266" s="585">
        <v>1</v>
      </c>
      <c r="E266" s="256">
        <v>4.3E-3</v>
      </c>
      <c r="F266" s="256"/>
      <c r="G266" s="342">
        <f>Insumos!D138</f>
        <v>113.25</v>
      </c>
      <c r="H266" s="342"/>
      <c r="I266" s="122">
        <f t="shared" si="6"/>
        <v>0.49</v>
      </c>
      <c r="J266" s="49"/>
    </row>
    <row r="267" spans="2:19" s="107" customFormat="1" ht="30" customHeight="1">
      <c r="B267" s="572" t="s">
        <v>722</v>
      </c>
      <c r="C267" s="584" t="s">
        <v>54</v>
      </c>
      <c r="D267" s="585">
        <v>1</v>
      </c>
      <c r="E267" s="256">
        <v>2.0999999999999999E-3</v>
      </c>
      <c r="F267" s="256">
        <f>E267</f>
        <v>2.0999999999999999E-3</v>
      </c>
      <c r="G267" s="342">
        <f>Insumos!D140</f>
        <v>6.99</v>
      </c>
      <c r="H267" s="342">
        <f>Insumos!D141</f>
        <v>5.24</v>
      </c>
      <c r="I267" s="122">
        <f t="shared" si="6"/>
        <v>0.03</v>
      </c>
      <c r="J267" s="49"/>
    </row>
    <row r="268" spans="2:19" s="107" customFormat="1" ht="38.25">
      <c r="B268" s="572" t="s">
        <v>724</v>
      </c>
      <c r="C268" s="584" t="s">
        <v>54</v>
      </c>
      <c r="D268" s="585">
        <v>1</v>
      </c>
      <c r="E268" s="256">
        <v>9.7000000000000003E-3</v>
      </c>
      <c r="F268" s="256">
        <v>3.3999999999999998E-3</v>
      </c>
      <c r="G268" s="342">
        <f>Insumos!D142</f>
        <v>103.36</v>
      </c>
      <c r="H268" s="342">
        <f>Insumos!D143</f>
        <v>35.79</v>
      </c>
      <c r="I268" s="122">
        <f t="shared" si="6"/>
        <v>1.1200000000000001</v>
      </c>
      <c r="J268" s="49"/>
    </row>
    <row r="269" spans="2:19" s="107" customFormat="1" ht="30" customHeight="1">
      <c r="B269" s="799" t="s">
        <v>55</v>
      </c>
      <c r="C269" s="800"/>
      <c r="D269" s="800"/>
      <c r="E269" s="800"/>
      <c r="F269" s="800"/>
      <c r="G269" s="800"/>
      <c r="H269" s="800"/>
      <c r="I269" s="346">
        <f>SUM(I264:I268)</f>
        <v>2.4900000000000002</v>
      </c>
      <c r="J269" s="49"/>
    </row>
    <row r="270" spans="2:19" s="107" customFormat="1" ht="30" customHeight="1">
      <c r="B270" s="745" t="s">
        <v>56</v>
      </c>
      <c r="C270" s="746"/>
      <c r="D270" s="746"/>
      <c r="E270" s="746"/>
      <c r="F270" s="746"/>
      <c r="G270" s="746"/>
      <c r="H270" s="746"/>
      <c r="I270" s="747"/>
      <c r="J270" s="49"/>
    </row>
    <row r="271" spans="2:19" s="107" customFormat="1" ht="30" customHeight="1">
      <c r="B271" s="592" t="s">
        <v>57</v>
      </c>
      <c r="C271" s="255" t="s">
        <v>68</v>
      </c>
      <c r="D271" s="341" t="s">
        <v>48</v>
      </c>
      <c r="E271" s="341"/>
      <c r="F271" s="341"/>
      <c r="G271" s="341"/>
      <c r="H271" s="255" t="s">
        <v>58</v>
      </c>
      <c r="I271" s="593" t="s">
        <v>53</v>
      </c>
      <c r="J271" s="49"/>
    </row>
    <row r="272" spans="2:19" s="107" customFormat="1" ht="30" customHeight="1">
      <c r="B272" s="594"/>
      <c r="C272" s="586"/>
      <c r="D272" s="587"/>
      <c r="E272" s="341"/>
      <c r="F272" s="341"/>
      <c r="G272" s="341"/>
      <c r="H272" s="588"/>
      <c r="I272" s="122">
        <f>D272*H272</f>
        <v>0</v>
      </c>
      <c r="J272" s="49"/>
    </row>
    <row r="273" spans="2:19" s="107" customFormat="1" ht="30" customHeight="1">
      <c r="B273" s="694" t="s">
        <v>55</v>
      </c>
      <c r="C273" s="695"/>
      <c r="D273" s="695"/>
      <c r="E273" s="695"/>
      <c r="F273" s="695"/>
      <c r="G273" s="695"/>
      <c r="H273" s="695"/>
      <c r="I273" s="595">
        <f>SUM(I272:I272)</f>
        <v>0</v>
      </c>
      <c r="J273" s="49"/>
    </row>
    <row r="274" spans="2:19" s="107" customFormat="1" ht="30" customHeight="1">
      <c r="B274" s="803" t="s">
        <v>60</v>
      </c>
      <c r="C274" s="804"/>
      <c r="D274" s="804"/>
      <c r="E274" s="804"/>
      <c r="F274" s="804"/>
      <c r="G274" s="804"/>
      <c r="H274" s="804"/>
      <c r="I274" s="805"/>
      <c r="J274" s="49"/>
    </row>
    <row r="275" spans="2:19" s="107" customFormat="1" ht="30" customHeight="1">
      <c r="B275" s="347" t="s">
        <v>57</v>
      </c>
      <c r="C275" s="571" t="s">
        <v>68</v>
      </c>
      <c r="D275" s="571" t="s">
        <v>48</v>
      </c>
      <c r="E275" s="571"/>
      <c r="F275" s="571"/>
      <c r="G275" s="571"/>
      <c r="H275" s="337" t="s">
        <v>58</v>
      </c>
      <c r="I275" s="596" t="s">
        <v>53</v>
      </c>
      <c r="J275" s="49"/>
    </row>
    <row r="276" spans="2:19" s="107" customFormat="1" ht="30" customHeight="1">
      <c r="B276" s="348"/>
      <c r="C276" s="584"/>
      <c r="D276" s="589"/>
      <c r="E276" s="571"/>
      <c r="F276" s="344"/>
      <c r="G276" s="344"/>
      <c r="H276" s="55"/>
      <c r="I276" s="595"/>
      <c r="J276" s="49"/>
    </row>
    <row r="277" spans="2:19" s="107" customFormat="1" ht="30" customHeight="1">
      <c r="B277" s="806" t="s">
        <v>55</v>
      </c>
      <c r="C277" s="807"/>
      <c r="D277" s="807"/>
      <c r="E277" s="807"/>
      <c r="F277" s="807"/>
      <c r="G277" s="807"/>
      <c r="H277" s="808"/>
      <c r="I277" s="595">
        <f>SUM(I276:I276)</f>
        <v>0</v>
      </c>
      <c r="J277" s="49"/>
    </row>
    <row r="278" spans="2:19" s="107" customFormat="1" ht="30" customHeight="1">
      <c r="B278" s="745" t="s">
        <v>61</v>
      </c>
      <c r="C278" s="746"/>
      <c r="D278" s="746"/>
      <c r="E278" s="746"/>
      <c r="F278" s="746"/>
      <c r="G278" s="746"/>
      <c r="H278" s="746"/>
      <c r="I278" s="747"/>
      <c r="J278" s="49"/>
      <c r="L278" s="107" t="s">
        <v>333</v>
      </c>
    </row>
    <row r="279" spans="2:19" s="107" customFormat="1" ht="30" customHeight="1">
      <c r="B279" s="592" t="s">
        <v>57</v>
      </c>
      <c r="C279" s="255" t="s">
        <v>68</v>
      </c>
      <c r="D279" s="341" t="s">
        <v>48</v>
      </c>
      <c r="E279" s="341"/>
      <c r="F279" s="341"/>
      <c r="G279" s="341"/>
      <c r="H279" s="255" t="s">
        <v>58</v>
      </c>
      <c r="I279" s="593" t="s">
        <v>53</v>
      </c>
      <c r="J279" s="49"/>
    </row>
    <row r="280" spans="2:19" s="107" customFormat="1" ht="30" customHeight="1">
      <c r="B280" s="574" t="s">
        <v>76</v>
      </c>
      <c r="C280" s="53" t="s">
        <v>54</v>
      </c>
      <c r="D280" s="536">
        <v>1.2999999999999999E-2</v>
      </c>
      <c r="E280" s="590"/>
      <c r="F280" s="591"/>
      <c r="G280" s="591"/>
      <c r="H280" s="53">
        <f>Insumos!D24</f>
        <v>6.53</v>
      </c>
      <c r="I280" s="100">
        <f>D280*H280</f>
        <v>0.08</v>
      </c>
      <c r="J280" s="49"/>
    </row>
    <row r="281" spans="2:19" s="107" customFormat="1" ht="30" customHeight="1">
      <c r="B281" s="694" t="s">
        <v>55</v>
      </c>
      <c r="C281" s="695"/>
      <c r="D281" s="695"/>
      <c r="E281" s="695"/>
      <c r="F281" s="695"/>
      <c r="G281" s="695"/>
      <c r="H281" s="695"/>
      <c r="I281" s="346">
        <f>SUM(I280:I280)</f>
        <v>0.08</v>
      </c>
      <c r="J281" s="49"/>
    </row>
    <row r="282" spans="2:19" s="434" customFormat="1" ht="30" customHeight="1">
      <c r="B282" s="99" t="s">
        <v>62</v>
      </c>
      <c r="C282" s="54">
        <v>1</v>
      </c>
      <c r="D282" s="690" t="s">
        <v>63</v>
      </c>
      <c r="E282" s="690"/>
      <c r="F282" s="690"/>
      <c r="G282" s="690"/>
      <c r="H282" s="690"/>
      <c r="I282" s="163">
        <f>I281+I277+I273+I269</f>
        <v>2.57</v>
      </c>
      <c r="J282" s="60"/>
      <c r="K282" s="457"/>
      <c r="L282" s="750"/>
      <c r="M282" s="750"/>
      <c r="N282" s="750"/>
      <c r="O282" s="750"/>
      <c r="P282" s="750"/>
      <c r="Q282" s="750"/>
      <c r="R282" s="283"/>
      <c r="S282" s="283"/>
    </row>
    <row r="283" spans="2:19" s="434" customFormat="1" ht="30" customHeight="1">
      <c r="B283" s="716" t="s">
        <v>77</v>
      </c>
      <c r="C283" s="717"/>
      <c r="D283" s="717"/>
      <c r="E283" s="717"/>
      <c r="F283" s="717"/>
      <c r="G283" s="717"/>
      <c r="H283" s="717"/>
      <c r="I283" s="100">
        <f>I282/C282</f>
        <v>2.57</v>
      </c>
      <c r="J283" s="60"/>
      <c r="K283" s="457"/>
      <c r="L283" s="751"/>
      <c r="M283" s="751"/>
      <c r="N283" s="751"/>
      <c r="O283" s="751"/>
      <c r="P283" s="751"/>
      <c r="Q283" s="751"/>
      <c r="R283" s="751"/>
      <c r="S283" s="751"/>
    </row>
    <row r="284" spans="2:19" s="434" customFormat="1" ht="30" customHeight="1">
      <c r="B284" s="101" t="s">
        <v>113</v>
      </c>
      <c r="C284" s="129">
        <v>25</v>
      </c>
      <c r="D284" s="720" t="s">
        <v>5</v>
      </c>
      <c r="E284" s="720"/>
      <c r="F284" s="720"/>
      <c r="G284" s="720"/>
      <c r="H284" s="720"/>
      <c r="I284" s="102">
        <f>C284/100*I283</f>
        <v>0.64</v>
      </c>
      <c r="J284" s="60"/>
      <c r="K284" s="457"/>
      <c r="L284" s="458"/>
      <c r="M284" s="458"/>
      <c r="N284" s="459"/>
      <c r="O284" s="460"/>
      <c r="P284" s="460"/>
      <c r="Q284" s="461"/>
      <c r="R284" s="461"/>
      <c r="S284" s="458"/>
    </row>
    <row r="285" spans="2:19" s="434" customFormat="1" ht="30" customHeight="1" thickBot="1">
      <c r="B285" s="702" t="s">
        <v>64</v>
      </c>
      <c r="C285" s="703"/>
      <c r="D285" s="703"/>
      <c r="E285" s="703"/>
      <c r="F285" s="703"/>
      <c r="G285" s="703"/>
      <c r="H285" s="703"/>
      <c r="I285" s="188">
        <f>I284+I283</f>
        <v>3.21</v>
      </c>
      <c r="J285" s="60"/>
      <c r="K285" s="457"/>
      <c r="L285" s="537"/>
      <c r="M285" s="538"/>
      <c r="N285" s="539"/>
      <c r="O285" s="136"/>
      <c r="P285" s="136"/>
      <c r="Q285" s="461"/>
      <c r="R285" s="461"/>
      <c r="S285" s="286"/>
    </row>
    <row r="286" spans="2:19">
      <c r="B286" s="48"/>
      <c r="C286" s="48"/>
      <c r="D286" s="176"/>
      <c r="E286" s="48"/>
      <c r="F286" s="48"/>
      <c r="G286" s="48"/>
      <c r="H286" s="48"/>
      <c r="I286" s="49"/>
      <c r="J286" s="96"/>
    </row>
    <row r="287" spans="2:19" ht="15.75">
      <c r="B287" s="48"/>
      <c r="C287" s="48"/>
      <c r="D287" s="176"/>
      <c r="E287" s="48"/>
      <c r="F287" s="48"/>
      <c r="G287" s="48"/>
      <c r="H287" s="48"/>
      <c r="I287" s="49"/>
      <c r="J287" s="96"/>
      <c r="L287" s="281"/>
      <c r="M287" s="428"/>
      <c r="N287" s="757"/>
      <c r="O287" s="757"/>
      <c r="P287" s="757"/>
      <c r="Q287" s="757"/>
      <c r="R287" s="757"/>
      <c r="S287" s="757"/>
    </row>
    <row r="288" spans="2:19" ht="13.5" thickBot="1">
      <c r="B288" s="48"/>
      <c r="C288" s="48"/>
      <c r="D288" s="176"/>
      <c r="E288" s="48"/>
      <c r="F288" s="48"/>
      <c r="G288" s="48"/>
      <c r="H288" s="48"/>
      <c r="I288" s="49"/>
      <c r="J288" s="96"/>
      <c r="L288" s="282"/>
      <c r="M288" s="277"/>
      <c r="N288" s="278"/>
      <c r="O288" s="277"/>
      <c r="P288" s="279"/>
      <c r="Q288" s="279"/>
      <c r="R288" s="283"/>
      <c r="S288" s="283"/>
    </row>
    <row r="289" spans="2:19" ht="30" customHeight="1" thickBot="1">
      <c r="B289" s="484" t="s">
        <v>43</v>
      </c>
      <c r="C289" s="484" t="s">
        <v>327</v>
      </c>
      <c r="D289" s="709" t="s">
        <v>45</v>
      </c>
      <c r="E289" s="710"/>
      <c r="F289" s="710"/>
      <c r="G289" s="710"/>
      <c r="H289" s="710"/>
      <c r="I289" s="711"/>
      <c r="J289" s="96"/>
      <c r="L289" s="758"/>
      <c r="M289" s="758"/>
      <c r="N289" s="758"/>
      <c r="O289" s="758"/>
      <c r="P289" s="758"/>
      <c r="Q289" s="758"/>
      <c r="R289" s="283"/>
      <c r="S289" s="283"/>
    </row>
    <row r="290" spans="2:19" ht="30" customHeight="1">
      <c r="B290" s="712" t="s">
        <v>704</v>
      </c>
      <c r="C290" s="713"/>
      <c r="D290" s="713"/>
      <c r="E290" s="713"/>
      <c r="F290" s="713"/>
      <c r="G290" s="714"/>
      <c r="H290" s="699" t="s">
        <v>705</v>
      </c>
      <c r="I290" s="700"/>
      <c r="J290" s="96"/>
      <c r="L290" s="287"/>
      <c r="M290" s="287"/>
      <c r="N290" s="287"/>
      <c r="O290" s="287"/>
      <c r="P290" s="287"/>
      <c r="Q290" s="287"/>
      <c r="R290" s="287"/>
      <c r="S290" s="287"/>
    </row>
    <row r="291" spans="2:19" s="434" customFormat="1" ht="30" customHeight="1">
      <c r="B291" s="706" t="s">
        <v>592</v>
      </c>
      <c r="C291" s="707"/>
      <c r="D291" s="707"/>
      <c r="E291" s="707"/>
      <c r="F291" s="707"/>
      <c r="G291" s="707"/>
      <c r="H291" s="480" t="s">
        <v>66</v>
      </c>
      <c r="I291" s="184" t="s">
        <v>87</v>
      </c>
      <c r="J291" s="60"/>
      <c r="L291" s="458"/>
      <c r="M291" s="458"/>
      <c r="N291" s="459"/>
      <c r="O291" s="460"/>
      <c r="P291" s="460"/>
      <c r="Q291" s="461"/>
      <c r="R291" s="461"/>
      <c r="S291" s="458"/>
    </row>
    <row r="292" spans="2:19" s="434" customFormat="1" ht="30" customHeight="1">
      <c r="B292" s="691" t="s">
        <v>46</v>
      </c>
      <c r="C292" s="692"/>
      <c r="D292" s="692"/>
      <c r="E292" s="692"/>
      <c r="F292" s="692"/>
      <c r="G292" s="692"/>
      <c r="H292" s="708"/>
      <c r="I292" s="693"/>
      <c r="J292" s="60"/>
      <c r="L292" s="537"/>
      <c r="M292" s="538"/>
      <c r="N292" s="539"/>
      <c r="O292" s="136"/>
      <c r="P292" s="136"/>
      <c r="Q292" s="461"/>
      <c r="R292" s="461"/>
      <c r="S292" s="286"/>
    </row>
    <row r="293" spans="2:19" s="434" customFormat="1" ht="30" customHeight="1">
      <c r="B293" s="185" t="s">
        <v>57</v>
      </c>
      <c r="C293" s="115" t="s">
        <v>68</v>
      </c>
      <c r="D293" s="116" t="s">
        <v>48</v>
      </c>
      <c r="E293" s="116" t="s">
        <v>49</v>
      </c>
      <c r="F293" s="116" t="s">
        <v>50</v>
      </c>
      <c r="G293" s="117" t="s">
        <v>51</v>
      </c>
      <c r="H293" s="117" t="s">
        <v>52</v>
      </c>
      <c r="I293" s="186" t="s">
        <v>53</v>
      </c>
      <c r="J293" s="60"/>
      <c r="L293" s="540"/>
      <c r="M293" s="540"/>
      <c r="N293" s="540"/>
      <c r="O293" s="540"/>
      <c r="P293" s="540"/>
      <c r="Q293" s="540"/>
      <c r="R293" s="540"/>
      <c r="S293" s="540"/>
    </row>
    <row r="294" spans="2:19" s="434" customFormat="1" ht="30" customHeight="1">
      <c r="B294" s="121"/>
      <c r="C294" s="179"/>
      <c r="D294" s="180"/>
      <c r="E294" s="114"/>
      <c r="F294" s="114"/>
      <c r="G294" s="55"/>
      <c r="H294" s="55"/>
      <c r="I294" s="100">
        <f>D294*E294*G294+D294*F294*H294</f>
        <v>0</v>
      </c>
      <c r="J294" s="60"/>
      <c r="L294" s="458"/>
      <c r="M294" s="458"/>
      <c r="N294" s="459"/>
      <c r="O294" s="459"/>
      <c r="P294" s="459"/>
      <c r="Q294" s="459"/>
      <c r="R294" s="458"/>
      <c r="S294" s="458"/>
    </row>
    <row r="295" spans="2:19" s="434" customFormat="1" ht="30" customHeight="1">
      <c r="B295" s="121"/>
      <c r="C295" s="179"/>
      <c r="D295" s="213"/>
      <c r="E295" s="114"/>
      <c r="F295" s="114"/>
      <c r="G295" s="55"/>
      <c r="H295" s="55"/>
      <c r="I295" s="100">
        <f>D295*E295*G295+D295*F295*H295</f>
        <v>0</v>
      </c>
      <c r="J295" s="60"/>
      <c r="L295" s="283"/>
      <c r="M295" s="458"/>
      <c r="N295" s="462"/>
      <c r="O295" s="459"/>
      <c r="P295" s="459"/>
      <c r="Q295" s="459"/>
      <c r="R295" s="134"/>
      <c r="S295" s="286"/>
    </row>
    <row r="296" spans="2:19" s="434" customFormat="1" ht="30" customHeight="1">
      <c r="B296" s="704"/>
      <c r="C296" s="705"/>
      <c r="D296" s="705"/>
      <c r="E296" s="705"/>
      <c r="F296" s="705"/>
      <c r="G296" s="705"/>
      <c r="H296" s="705"/>
      <c r="I296" s="163">
        <f>SUM(I294:I295)</f>
        <v>0</v>
      </c>
      <c r="J296" s="60"/>
      <c r="L296" s="288"/>
      <c r="M296" s="288"/>
      <c r="N296" s="288"/>
      <c r="O296" s="288"/>
      <c r="P296" s="288"/>
      <c r="Q296" s="288"/>
      <c r="R296" s="288"/>
      <c r="S296" s="286"/>
    </row>
    <row r="297" spans="2:19" s="434" customFormat="1" ht="30" customHeight="1">
      <c r="B297" s="691" t="s">
        <v>56</v>
      </c>
      <c r="C297" s="692"/>
      <c r="D297" s="692"/>
      <c r="E297" s="692"/>
      <c r="F297" s="692"/>
      <c r="G297" s="692"/>
      <c r="H297" s="692"/>
      <c r="I297" s="693"/>
      <c r="J297" s="60"/>
      <c r="L297" s="288"/>
      <c r="M297" s="288"/>
      <c r="N297" s="288"/>
      <c r="O297" s="288"/>
      <c r="P297" s="288"/>
      <c r="Q297" s="288"/>
      <c r="R297" s="288"/>
      <c r="S297" s="286"/>
    </row>
    <row r="298" spans="2:19" s="434" customFormat="1" ht="30" customHeight="1">
      <c r="B298" s="447" t="s">
        <v>57</v>
      </c>
      <c r="C298" s="53" t="s">
        <v>68</v>
      </c>
      <c r="D298" s="177" t="s">
        <v>48</v>
      </c>
      <c r="E298" s="118"/>
      <c r="F298" s="118"/>
      <c r="G298" s="118"/>
      <c r="H298" s="58" t="s">
        <v>58</v>
      </c>
      <c r="I298" s="187" t="s">
        <v>53</v>
      </c>
      <c r="J298" s="60"/>
      <c r="L298" s="540"/>
      <c r="M298" s="540"/>
      <c r="N298" s="540"/>
      <c r="O298" s="540"/>
      <c r="P298" s="540"/>
      <c r="Q298" s="540"/>
      <c r="R298" s="540"/>
      <c r="S298" s="540"/>
    </row>
    <row r="299" spans="2:19" s="434" customFormat="1" ht="30" customHeight="1">
      <c r="B299" s="119"/>
      <c r="C299" s="53"/>
      <c r="D299" s="114"/>
      <c r="E299" s="535"/>
      <c r="F299" s="118"/>
      <c r="G299" s="118"/>
      <c r="H299" s="53"/>
      <c r="I299" s="100"/>
      <c r="J299" s="60"/>
      <c r="L299" s="458"/>
      <c r="M299" s="458"/>
      <c r="N299" s="459"/>
      <c r="O299" s="459"/>
      <c r="P299" s="459"/>
      <c r="Q299" s="459"/>
      <c r="R299" s="458"/>
      <c r="S299" s="458"/>
    </row>
    <row r="300" spans="2:19" s="434" customFormat="1" ht="30" customHeight="1">
      <c r="B300" s="689" t="s">
        <v>55</v>
      </c>
      <c r="C300" s="690"/>
      <c r="D300" s="690"/>
      <c r="E300" s="690"/>
      <c r="F300" s="690"/>
      <c r="G300" s="690"/>
      <c r="H300" s="690"/>
      <c r="I300" s="100">
        <f>SUM(I299:I299)</f>
        <v>0</v>
      </c>
      <c r="J300" s="60"/>
      <c r="L300" s="283"/>
      <c r="M300" s="458"/>
      <c r="N300" s="462"/>
      <c r="O300" s="459"/>
      <c r="P300" s="459"/>
      <c r="Q300" s="459"/>
      <c r="R300" s="134"/>
      <c r="S300" s="286"/>
    </row>
    <row r="301" spans="2:19" s="434" customFormat="1" ht="30" customHeight="1">
      <c r="B301" s="691" t="s">
        <v>60</v>
      </c>
      <c r="C301" s="692"/>
      <c r="D301" s="692"/>
      <c r="E301" s="692"/>
      <c r="F301" s="692"/>
      <c r="G301" s="692"/>
      <c r="H301" s="692"/>
      <c r="I301" s="693"/>
      <c r="J301" s="60"/>
      <c r="L301" s="284"/>
      <c r="M301" s="285"/>
      <c r="N301" s="752"/>
      <c r="O301" s="752"/>
      <c r="P301" s="752"/>
      <c r="Q301" s="752"/>
      <c r="R301" s="752"/>
      <c r="S301" s="286"/>
    </row>
    <row r="302" spans="2:19" s="434" customFormat="1" ht="30" customHeight="1">
      <c r="B302" s="182" t="s">
        <v>57</v>
      </c>
      <c r="C302" s="54" t="s">
        <v>68</v>
      </c>
      <c r="D302" s="58" t="s">
        <v>48</v>
      </c>
      <c r="E302" s="52"/>
      <c r="F302" s="52"/>
      <c r="G302" s="52"/>
      <c r="H302" s="58" t="s">
        <v>58</v>
      </c>
      <c r="I302" s="187" t="s">
        <v>53</v>
      </c>
      <c r="J302" s="60"/>
      <c r="L302" s="749"/>
      <c r="M302" s="749"/>
      <c r="N302" s="749"/>
      <c r="O302" s="749"/>
      <c r="P302" s="749"/>
      <c r="Q302" s="749"/>
      <c r="R302" s="749"/>
      <c r="S302" s="286"/>
    </row>
    <row r="303" spans="2:19" s="434" customFormat="1" ht="30" customHeight="1">
      <c r="B303" s="119"/>
      <c r="C303" s="179"/>
      <c r="D303" s="543"/>
      <c r="E303" s="52"/>
      <c r="F303" s="118"/>
      <c r="G303" s="118"/>
      <c r="H303" s="59"/>
      <c r="I303" s="100">
        <f>D303*H303</f>
        <v>0</v>
      </c>
      <c r="J303" s="60"/>
      <c r="L303" s="749"/>
      <c r="M303" s="749"/>
      <c r="N303" s="749"/>
      <c r="O303" s="749"/>
      <c r="P303" s="749"/>
      <c r="Q303" s="749"/>
      <c r="R303" s="749"/>
      <c r="S303" s="286"/>
    </row>
    <row r="304" spans="2:19" s="434" customFormat="1" ht="30" customHeight="1">
      <c r="B304" s="689" t="s">
        <v>55</v>
      </c>
      <c r="C304" s="690"/>
      <c r="D304" s="690"/>
      <c r="E304" s="690"/>
      <c r="F304" s="690"/>
      <c r="G304" s="690"/>
      <c r="H304" s="690"/>
      <c r="I304" s="100">
        <f>SUM(I303)</f>
        <v>0</v>
      </c>
      <c r="J304" s="60"/>
      <c r="L304" s="756"/>
      <c r="M304" s="756"/>
      <c r="N304" s="756"/>
      <c r="O304" s="756"/>
      <c r="P304" s="756"/>
      <c r="Q304" s="756"/>
      <c r="R304" s="756"/>
      <c r="S304" s="286"/>
    </row>
    <row r="305" spans="2:19" s="434" customFormat="1" ht="30" customHeight="1">
      <c r="B305" s="691" t="s">
        <v>61</v>
      </c>
      <c r="C305" s="692"/>
      <c r="D305" s="692"/>
      <c r="E305" s="692"/>
      <c r="F305" s="692"/>
      <c r="G305" s="692"/>
      <c r="H305" s="692"/>
      <c r="I305" s="693"/>
      <c r="J305" s="60"/>
      <c r="L305" s="541"/>
      <c r="M305" s="541"/>
      <c r="N305" s="542"/>
      <c r="O305" s="541"/>
      <c r="P305" s="541"/>
      <c r="Q305" s="541"/>
      <c r="R305" s="541"/>
      <c r="S305" s="541"/>
    </row>
    <row r="306" spans="2:19" s="434" customFormat="1" ht="30" customHeight="1">
      <c r="B306" s="447" t="s">
        <v>57</v>
      </c>
      <c r="C306" s="53" t="s">
        <v>68</v>
      </c>
      <c r="D306" s="177" t="s">
        <v>48</v>
      </c>
      <c r="E306" s="118"/>
      <c r="F306" s="118"/>
      <c r="G306" s="118"/>
      <c r="H306" s="58" t="s">
        <v>58</v>
      </c>
      <c r="I306" s="187" t="s">
        <v>53</v>
      </c>
      <c r="J306" s="60"/>
      <c r="K306" s="457"/>
      <c r="L306" s="283" t="s">
        <v>586</v>
      </c>
      <c r="M306" s="458"/>
      <c r="N306" s="284"/>
      <c r="O306" s="458"/>
      <c r="P306" s="459"/>
      <c r="Q306" s="459"/>
      <c r="R306" s="283"/>
      <c r="S306" s="283"/>
    </row>
    <row r="307" spans="2:19" s="434" customFormat="1" ht="30" customHeight="1">
      <c r="B307" s="119" t="s">
        <v>76</v>
      </c>
      <c r="C307" s="53" t="s">
        <v>54</v>
      </c>
      <c r="D307" s="536">
        <v>2.2000000000000002</v>
      </c>
      <c r="E307" s="58"/>
      <c r="F307" s="118"/>
      <c r="G307" s="118"/>
      <c r="H307" s="53">
        <f>Insumos!D24</f>
        <v>6.53</v>
      </c>
      <c r="I307" s="100">
        <f>H307*D307</f>
        <v>14.37</v>
      </c>
      <c r="J307" s="60"/>
      <c r="K307" s="457"/>
      <c r="L307" s="750"/>
      <c r="M307" s="750"/>
      <c r="N307" s="750"/>
      <c r="O307" s="750"/>
      <c r="P307" s="750"/>
      <c r="Q307" s="750"/>
      <c r="R307" s="283"/>
      <c r="S307" s="283"/>
    </row>
    <row r="308" spans="2:19" s="434" customFormat="1" ht="30" customHeight="1">
      <c r="B308" s="689" t="s">
        <v>55</v>
      </c>
      <c r="C308" s="690"/>
      <c r="D308" s="690"/>
      <c r="E308" s="690"/>
      <c r="F308" s="690"/>
      <c r="G308" s="690"/>
      <c r="H308" s="690"/>
      <c r="I308" s="163">
        <f>SUM(I307:I307)</f>
        <v>14.37</v>
      </c>
      <c r="J308" s="60"/>
      <c r="K308" s="457"/>
      <c r="L308" s="751"/>
      <c r="M308" s="751"/>
      <c r="N308" s="751"/>
      <c r="O308" s="751"/>
      <c r="P308" s="751"/>
      <c r="Q308" s="751"/>
      <c r="R308" s="751"/>
      <c r="S308" s="751"/>
    </row>
    <row r="309" spans="2:19" s="434" customFormat="1" ht="30" customHeight="1">
      <c r="B309" s="99" t="s">
        <v>62</v>
      </c>
      <c r="C309" s="54">
        <v>1</v>
      </c>
      <c r="D309" s="690" t="s">
        <v>63</v>
      </c>
      <c r="E309" s="690"/>
      <c r="F309" s="690"/>
      <c r="G309" s="690"/>
      <c r="H309" s="690"/>
      <c r="I309" s="163">
        <f>I308+I304+I300+I296</f>
        <v>14.37</v>
      </c>
      <c r="J309" s="60"/>
      <c r="K309" s="457"/>
      <c r="L309" s="458"/>
      <c r="M309" s="458"/>
      <c r="N309" s="459"/>
      <c r="O309" s="460"/>
      <c r="P309" s="460"/>
      <c r="Q309" s="461"/>
      <c r="R309" s="461"/>
      <c r="S309" s="458"/>
    </row>
    <row r="310" spans="2:19" s="434" customFormat="1" ht="30" customHeight="1">
      <c r="B310" s="716" t="s">
        <v>77</v>
      </c>
      <c r="C310" s="717"/>
      <c r="D310" s="717"/>
      <c r="E310" s="717"/>
      <c r="F310" s="717"/>
      <c r="G310" s="717"/>
      <c r="H310" s="717"/>
      <c r="I310" s="100">
        <f>I309/C309</f>
        <v>14.37</v>
      </c>
      <c r="J310" s="60"/>
      <c r="K310" s="457"/>
      <c r="L310" s="537"/>
      <c r="M310" s="538"/>
      <c r="N310" s="539"/>
      <c r="O310" s="136"/>
      <c r="P310" s="136"/>
      <c r="Q310" s="461"/>
      <c r="R310" s="461"/>
      <c r="S310" s="286"/>
    </row>
    <row r="311" spans="2:19">
      <c r="B311" s="101" t="s">
        <v>113</v>
      </c>
      <c r="C311" s="129">
        <v>25</v>
      </c>
      <c r="D311" s="720" t="s">
        <v>5</v>
      </c>
      <c r="E311" s="720"/>
      <c r="F311" s="720"/>
      <c r="G311" s="720"/>
      <c r="H311" s="720"/>
      <c r="I311" s="102">
        <f>C311/100*I310</f>
        <v>3.59</v>
      </c>
      <c r="J311" s="96"/>
      <c r="K311" s="280"/>
      <c r="L311" s="752"/>
      <c r="M311" s="752"/>
      <c r="N311" s="752"/>
      <c r="O311" s="752"/>
      <c r="P311" s="752"/>
      <c r="Q311" s="752"/>
      <c r="R311" s="752"/>
      <c r="S311" s="139"/>
    </row>
    <row r="312" spans="2:19" ht="16.5" thickBot="1">
      <c r="B312" s="702" t="s">
        <v>64</v>
      </c>
      <c r="C312" s="703"/>
      <c r="D312" s="703"/>
      <c r="E312" s="703"/>
      <c r="F312" s="703"/>
      <c r="G312" s="703"/>
      <c r="H312" s="703"/>
      <c r="I312" s="188">
        <f>I311+I310</f>
        <v>17.96</v>
      </c>
      <c r="J312" s="96"/>
      <c r="K312" s="280"/>
      <c r="L312" s="284"/>
      <c r="M312" s="284"/>
      <c r="N312" s="284"/>
      <c r="O312" s="284"/>
      <c r="P312" s="284"/>
      <c r="Q312" s="284"/>
      <c r="R312" s="284"/>
      <c r="S312" s="139"/>
    </row>
    <row r="313" spans="2:19" ht="15.75">
      <c r="B313" s="48"/>
      <c r="C313" s="48"/>
      <c r="D313" s="48"/>
      <c r="E313" s="48"/>
      <c r="F313" s="48"/>
      <c r="G313" s="48"/>
      <c r="H313" s="48"/>
      <c r="I313" s="618"/>
      <c r="J313" s="96"/>
      <c r="K313" s="280"/>
      <c r="L313" s="615"/>
      <c r="M313" s="615"/>
      <c r="N313" s="615"/>
      <c r="O313" s="615"/>
      <c r="P313" s="615"/>
      <c r="Q313" s="615"/>
      <c r="R313" s="615"/>
      <c r="S313" s="139"/>
    </row>
    <row r="314" spans="2:19" ht="15.75">
      <c r="B314" s="48"/>
      <c r="C314" s="48"/>
      <c r="D314" s="48"/>
      <c r="E314" s="48"/>
      <c r="F314" s="48"/>
      <c r="G314" s="48"/>
      <c r="H314" s="48"/>
      <c r="I314" s="214"/>
      <c r="J314" s="96"/>
      <c r="K314" s="280"/>
      <c r="L314" s="284"/>
      <c r="M314" s="284"/>
      <c r="N314" s="284"/>
      <c r="O314" s="284"/>
      <c r="P314" s="284"/>
      <c r="Q314" s="284"/>
      <c r="R314" s="284"/>
      <c r="S314" s="139"/>
    </row>
    <row r="315" spans="2:19" ht="13.5" thickBot="1">
      <c r="B315" s="48"/>
      <c r="C315" s="48"/>
      <c r="D315" s="176"/>
      <c r="E315" s="48"/>
      <c r="F315" s="48"/>
      <c r="G315" s="48"/>
      <c r="H315" s="48"/>
      <c r="I315" s="49"/>
      <c r="J315" s="96"/>
      <c r="K315" s="280"/>
      <c r="L315" s="284"/>
      <c r="M315" s="284"/>
      <c r="N315" s="284"/>
      <c r="O315" s="284"/>
      <c r="P315" s="284"/>
      <c r="Q315" s="284"/>
      <c r="R315" s="284"/>
      <c r="S315" s="139"/>
    </row>
    <row r="316" spans="2:19" ht="30" customHeight="1" thickBot="1">
      <c r="B316" s="484" t="s">
        <v>43</v>
      </c>
      <c r="C316" s="484" t="s">
        <v>431</v>
      </c>
      <c r="D316" s="709" t="s">
        <v>45</v>
      </c>
      <c r="E316" s="710"/>
      <c r="F316" s="710"/>
      <c r="G316" s="710"/>
      <c r="H316" s="710"/>
      <c r="I316" s="711"/>
      <c r="J316" s="96"/>
      <c r="K316" s="280"/>
      <c r="L316" s="284"/>
      <c r="M316" s="284"/>
      <c r="N316" s="284"/>
      <c r="O316" s="284"/>
      <c r="P316" s="284"/>
      <c r="Q316" s="284"/>
      <c r="R316" s="284"/>
      <c r="S316" s="139"/>
    </row>
    <row r="317" spans="2:19" ht="30" customHeight="1">
      <c r="B317" s="712" t="s">
        <v>704</v>
      </c>
      <c r="C317" s="713"/>
      <c r="D317" s="713"/>
      <c r="E317" s="713"/>
      <c r="F317" s="713"/>
      <c r="G317" s="714"/>
      <c r="H317" s="699" t="s">
        <v>705</v>
      </c>
      <c r="I317" s="700"/>
      <c r="J317" s="96"/>
      <c r="K317" s="280"/>
      <c r="L317" s="284"/>
      <c r="M317" s="284"/>
      <c r="N317" s="284"/>
      <c r="O317" s="284"/>
      <c r="P317" s="284"/>
      <c r="Q317" s="284"/>
      <c r="R317" s="284"/>
      <c r="S317" s="139"/>
    </row>
    <row r="318" spans="2:19" ht="30" customHeight="1">
      <c r="B318" s="706" t="s">
        <v>334</v>
      </c>
      <c r="C318" s="707"/>
      <c r="D318" s="707"/>
      <c r="E318" s="707"/>
      <c r="F318" s="707"/>
      <c r="G318" s="707"/>
      <c r="H318" s="480" t="s">
        <v>66</v>
      </c>
      <c r="I318" s="184" t="s">
        <v>87</v>
      </c>
      <c r="J318" s="96"/>
      <c r="K318" s="280"/>
      <c r="L318" s="284"/>
      <c r="M318" s="284"/>
      <c r="N318" s="284"/>
      <c r="O318" s="284"/>
      <c r="P318" s="284"/>
      <c r="Q318" s="284"/>
      <c r="R318" s="284"/>
      <c r="S318" s="139"/>
    </row>
    <row r="319" spans="2:19" ht="15.75">
      <c r="B319" s="691" t="s">
        <v>46</v>
      </c>
      <c r="C319" s="692"/>
      <c r="D319" s="692"/>
      <c r="E319" s="692"/>
      <c r="F319" s="692"/>
      <c r="G319" s="692"/>
      <c r="H319" s="708"/>
      <c r="I319" s="693"/>
      <c r="J319" s="96"/>
      <c r="K319" s="280"/>
      <c r="L319" s="284"/>
      <c r="M319" s="284"/>
      <c r="N319" s="284"/>
      <c r="O319" s="284"/>
      <c r="P319" s="284"/>
      <c r="Q319" s="284"/>
      <c r="R319" s="284"/>
      <c r="S319" s="139"/>
    </row>
    <row r="320" spans="2:19" s="434" customFormat="1" ht="30" customHeight="1">
      <c r="B320" s="185" t="s">
        <v>57</v>
      </c>
      <c r="C320" s="115" t="s">
        <v>68</v>
      </c>
      <c r="D320" s="116" t="s">
        <v>48</v>
      </c>
      <c r="E320" s="116" t="s">
        <v>49</v>
      </c>
      <c r="F320" s="116" t="s">
        <v>50</v>
      </c>
      <c r="G320" s="117" t="s">
        <v>51</v>
      </c>
      <c r="H320" s="117" t="s">
        <v>52</v>
      </c>
      <c r="I320" s="186" t="s">
        <v>53</v>
      </c>
      <c r="J320" s="60"/>
      <c r="K320" s="457"/>
      <c r="L320" s="284"/>
      <c r="M320" s="284"/>
      <c r="N320" s="284"/>
      <c r="O320" s="284"/>
      <c r="P320" s="284"/>
      <c r="Q320" s="284"/>
      <c r="R320" s="284"/>
      <c r="S320" s="286"/>
    </row>
    <row r="321" spans="2:19" s="434" customFormat="1" ht="30" customHeight="1">
      <c r="B321" s="119"/>
      <c r="C321" s="179"/>
      <c r="D321" s="180"/>
      <c r="E321" s="114"/>
      <c r="F321" s="114"/>
      <c r="G321" s="55"/>
      <c r="H321" s="55"/>
      <c r="I321" s="100">
        <f>D321*E321*G321+D321*F321*H321</f>
        <v>0</v>
      </c>
      <c r="J321" s="60"/>
      <c r="K321" s="457"/>
      <c r="L321" s="284"/>
      <c r="M321" s="284"/>
      <c r="N321" s="284"/>
      <c r="O321" s="284"/>
      <c r="P321" s="284"/>
      <c r="Q321" s="284"/>
      <c r="R321" s="284"/>
      <c r="S321" s="286"/>
    </row>
    <row r="322" spans="2:19" s="434" customFormat="1" ht="30" customHeight="1">
      <c r="B322" s="704"/>
      <c r="C322" s="705"/>
      <c r="D322" s="705"/>
      <c r="E322" s="705"/>
      <c r="F322" s="705"/>
      <c r="G322" s="705"/>
      <c r="H322" s="705"/>
      <c r="I322" s="163">
        <f>SUM(I321:I321)</f>
        <v>0</v>
      </c>
      <c r="J322" s="60"/>
      <c r="K322" s="457"/>
      <c r="L322" s="284"/>
      <c r="M322" s="284"/>
      <c r="N322" s="284"/>
      <c r="O322" s="284"/>
      <c r="P322" s="284"/>
      <c r="Q322" s="284"/>
      <c r="R322" s="284"/>
      <c r="S322" s="286"/>
    </row>
    <row r="323" spans="2:19" s="434" customFormat="1" ht="30" customHeight="1">
      <c r="B323" s="691" t="s">
        <v>56</v>
      </c>
      <c r="C323" s="692"/>
      <c r="D323" s="692"/>
      <c r="E323" s="692"/>
      <c r="F323" s="692"/>
      <c r="G323" s="692"/>
      <c r="H323" s="692"/>
      <c r="I323" s="693"/>
      <c r="J323" s="60"/>
      <c r="K323" s="457"/>
      <c r="L323" s="284"/>
      <c r="M323" s="284"/>
      <c r="N323" s="284"/>
      <c r="O323" s="284"/>
      <c r="P323" s="284"/>
      <c r="Q323" s="284"/>
      <c r="R323" s="284"/>
      <c r="S323" s="286"/>
    </row>
    <row r="324" spans="2:19" s="434" customFormat="1" ht="30" customHeight="1">
      <c r="B324" s="447" t="s">
        <v>57</v>
      </c>
      <c r="C324" s="53" t="s">
        <v>68</v>
      </c>
      <c r="D324" s="177" t="s">
        <v>48</v>
      </c>
      <c r="E324" s="118"/>
      <c r="F324" s="118"/>
      <c r="G324" s="118"/>
      <c r="H324" s="58" t="s">
        <v>58</v>
      </c>
      <c r="I324" s="186" t="s">
        <v>53</v>
      </c>
      <c r="J324" s="60"/>
      <c r="K324" s="457"/>
      <c r="L324" s="284"/>
      <c r="M324" s="284"/>
      <c r="N324" s="284"/>
      <c r="O324" s="284"/>
      <c r="P324" s="284"/>
      <c r="Q324" s="284"/>
      <c r="R324" s="284"/>
      <c r="S324" s="286"/>
    </row>
    <row r="325" spans="2:19" s="434" customFormat="1" ht="30" customHeight="1">
      <c r="B325" s="119"/>
      <c r="C325" s="53"/>
      <c r="D325" s="114"/>
      <c r="E325" s="535"/>
      <c r="F325" s="118"/>
      <c r="G325" s="118"/>
      <c r="H325" s="53"/>
      <c r="I325" s="100"/>
      <c r="J325" s="60"/>
      <c r="K325" s="457"/>
      <c r="L325" s="284"/>
      <c r="M325" s="284"/>
      <c r="N325" s="284"/>
      <c r="O325" s="284"/>
      <c r="P325" s="284"/>
      <c r="Q325" s="284"/>
      <c r="R325" s="284"/>
      <c r="S325" s="286"/>
    </row>
    <row r="326" spans="2:19" s="434" customFormat="1" ht="30" customHeight="1">
      <c r="B326" s="689" t="s">
        <v>55</v>
      </c>
      <c r="C326" s="690"/>
      <c r="D326" s="690"/>
      <c r="E326" s="690"/>
      <c r="F326" s="690"/>
      <c r="G326" s="690"/>
      <c r="H326" s="690"/>
      <c r="I326" s="100">
        <f>SUM(I325:I325)</f>
        <v>0</v>
      </c>
      <c r="J326" s="60"/>
      <c r="K326" s="457"/>
      <c r="L326" s="284"/>
      <c r="M326" s="284"/>
      <c r="N326" s="284"/>
      <c r="O326" s="284"/>
      <c r="P326" s="284"/>
      <c r="Q326" s="284"/>
      <c r="R326" s="284"/>
      <c r="S326" s="286"/>
    </row>
    <row r="327" spans="2:19" s="434" customFormat="1" ht="30" customHeight="1">
      <c r="B327" s="691" t="s">
        <v>60</v>
      </c>
      <c r="C327" s="692"/>
      <c r="D327" s="692"/>
      <c r="E327" s="692"/>
      <c r="F327" s="692"/>
      <c r="G327" s="692"/>
      <c r="H327" s="692"/>
      <c r="I327" s="693"/>
      <c r="J327" s="60"/>
      <c r="K327" s="457"/>
      <c r="L327" s="284"/>
      <c r="M327" s="284"/>
      <c r="N327" s="284"/>
      <c r="O327" s="284"/>
      <c r="P327" s="284"/>
      <c r="Q327" s="284"/>
      <c r="R327" s="284"/>
      <c r="S327" s="286"/>
    </row>
    <row r="328" spans="2:19" s="434" customFormat="1" ht="30" customHeight="1">
      <c r="B328" s="182" t="s">
        <v>57</v>
      </c>
      <c r="C328" s="54" t="s">
        <v>68</v>
      </c>
      <c r="D328" s="58" t="s">
        <v>48</v>
      </c>
      <c r="E328" s="52"/>
      <c r="F328" s="52"/>
      <c r="G328" s="52"/>
      <c r="H328" s="58" t="s">
        <v>58</v>
      </c>
      <c r="I328" s="187" t="s">
        <v>53</v>
      </c>
      <c r="J328" s="60"/>
      <c r="K328" s="457"/>
      <c r="L328" s="284"/>
      <c r="M328" s="284"/>
      <c r="N328" s="284"/>
      <c r="O328" s="284"/>
      <c r="P328" s="284"/>
      <c r="Q328" s="284"/>
      <c r="R328" s="284"/>
      <c r="S328" s="286"/>
    </row>
    <row r="329" spans="2:19" s="434" customFormat="1" ht="30" customHeight="1">
      <c r="B329" s="119"/>
      <c r="C329" s="179"/>
      <c r="D329" s="543"/>
      <c r="E329" s="52"/>
      <c r="F329" s="118"/>
      <c r="G329" s="118"/>
      <c r="H329" s="59"/>
      <c r="I329" s="100">
        <f>D329*H329</f>
        <v>0</v>
      </c>
      <c r="J329" s="60"/>
      <c r="K329" s="457"/>
      <c r="L329" s="284"/>
      <c r="M329" s="284"/>
      <c r="N329" s="284"/>
      <c r="O329" s="284"/>
      <c r="P329" s="284"/>
      <c r="Q329" s="284"/>
      <c r="R329" s="284"/>
      <c r="S329" s="286"/>
    </row>
    <row r="330" spans="2:19" s="434" customFormat="1" ht="30" customHeight="1">
      <c r="B330" s="689" t="s">
        <v>55</v>
      </c>
      <c r="C330" s="690"/>
      <c r="D330" s="690"/>
      <c r="E330" s="690"/>
      <c r="F330" s="690"/>
      <c r="G330" s="690"/>
      <c r="H330" s="690"/>
      <c r="I330" s="100">
        <f>SUM(I329)</f>
        <v>0</v>
      </c>
      <c r="J330" s="60"/>
      <c r="K330" s="457"/>
      <c r="L330" s="284"/>
      <c r="M330" s="284"/>
      <c r="N330" s="284"/>
      <c r="O330" s="284"/>
      <c r="P330" s="284"/>
      <c r="Q330" s="284"/>
      <c r="R330" s="284"/>
      <c r="S330" s="286"/>
    </row>
    <row r="331" spans="2:19" s="434" customFormat="1" ht="30" customHeight="1">
      <c r="B331" s="691" t="s">
        <v>61</v>
      </c>
      <c r="C331" s="692"/>
      <c r="D331" s="692"/>
      <c r="E331" s="692"/>
      <c r="F331" s="692"/>
      <c r="G331" s="692"/>
      <c r="H331" s="692"/>
      <c r="I331" s="693"/>
      <c r="J331" s="60"/>
      <c r="K331" s="457"/>
      <c r="L331" s="284"/>
      <c r="M331" s="284"/>
      <c r="N331" s="284"/>
      <c r="O331" s="284"/>
      <c r="P331" s="284"/>
      <c r="Q331" s="284"/>
      <c r="R331" s="284"/>
      <c r="S331" s="286"/>
    </row>
    <row r="332" spans="2:19" s="434" customFormat="1" ht="30" customHeight="1">
      <c r="B332" s="447" t="s">
        <v>57</v>
      </c>
      <c r="C332" s="53" t="s">
        <v>68</v>
      </c>
      <c r="D332" s="177" t="s">
        <v>48</v>
      </c>
      <c r="E332" s="118"/>
      <c r="F332" s="118"/>
      <c r="G332" s="118"/>
      <c r="H332" s="58" t="s">
        <v>58</v>
      </c>
      <c r="I332" s="187" t="s">
        <v>53</v>
      </c>
      <c r="J332" s="60"/>
      <c r="K332" s="457"/>
      <c r="L332" s="284"/>
      <c r="M332" s="284"/>
      <c r="N332" s="284"/>
      <c r="O332" s="284"/>
      <c r="P332" s="284"/>
      <c r="Q332" s="284"/>
      <c r="R332" s="284"/>
      <c r="S332" s="286"/>
    </row>
    <row r="333" spans="2:19" s="434" customFormat="1" ht="30" customHeight="1">
      <c r="B333" s="119" t="s">
        <v>76</v>
      </c>
      <c r="C333" s="53" t="s">
        <v>54</v>
      </c>
      <c r="D333" s="536">
        <v>2</v>
      </c>
      <c r="E333" s="58"/>
      <c r="F333" s="118"/>
      <c r="G333" s="118"/>
      <c r="H333" s="53">
        <f>Insumos!D24</f>
        <v>6.53</v>
      </c>
      <c r="I333" s="100">
        <f>H333*D333</f>
        <v>13.06</v>
      </c>
      <c r="J333" s="60"/>
      <c r="K333" s="457"/>
      <c r="L333" s="284"/>
      <c r="M333" s="284"/>
      <c r="N333" s="284"/>
      <c r="O333" s="284"/>
      <c r="P333" s="284"/>
      <c r="Q333" s="284"/>
      <c r="R333" s="284"/>
      <c r="S333" s="286"/>
    </row>
    <row r="334" spans="2:19" s="434" customFormat="1" ht="30" customHeight="1">
      <c r="B334" s="689" t="s">
        <v>55</v>
      </c>
      <c r="C334" s="690"/>
      <c r="D334" s="690"/>
      <c r="E334" s="690"/>
      <c r="F334" s="690"/>
      <c r="G334" s="690"/>
      <c r="H334" s="690"/>
      <c r="I334" s="163">
        <f>SUM(I333:I333)</f>
        <v>13.06</v>
      </c>
      <c r="J334" s="60"/>
      <c r="K334" s="457"/>
      <c r="L334" s="284"/>
      <c r="M334" s="284"/>
      <c r="N334" s="284"/>
      <c r="O334" s="284"/>
      <c r="P334" s="284"/>
      <c r="Q334" s="284"/>
      <c r="R334" s="284"/>
      <c r="S334" s="286"/>
    </row>
    <row r="335" spans="2:19" s="434" customFormat="1" ht="30" customHeight="1">
      <c r="B335" s="99" t="s">
        <v>62</v>
      </c>
      <c r="C335" s="54">
        <v>1</v>
      </c>
      <c r="D335" s="690" t="s">
        <v>63</v>
      </c>
      <c r="E335" s="690"/>
      <c r="F335" s="690"/>
      <c r="G335" s="690"/>
      <c r="H335" s="690"/>
      <c r="I335" s="163">
        <f>I334+I330+I326+I322</f>
        <v>13.06</v>
      </c>
      <c r="J335" s="60"/>
      <c r="K335" s="457">
        <v>356.78</v>
      </c>
      <c r="L335" s="284"/>
      <c r="M335" s="284"/>
      <c r="N335" s="284"/>
      <c r="O335" s="284"/>
      <c r="P335" s="284"/>
      <c r="Q335" s="284"/>
      <c r="R335" s="284"/>
      <c r="S335" s="286"/>
    </row>
    <row r="336" spans="2:19" s="434" customFormat="1" ht="30" customHeight="1">
      <c r="B336" s="716" t="s">
        <v>77</v>
      </c>
      <c r="C336" s="717"/>
      <c r="D336" s="717"/>
      <c r="E336" s="717"/>
      <c r="F336" s="717"/>
      <c r="G336" s="717"/>
      <c r="H336" s="717"/>
      <c r="I336" s="100">
        <f>I335/C335</f>
        <v>13.06</v>
      </c>
      <c r="J336" s="60"/>
      <c r="K336" s="457"/>
      <c r="L336" s="284"/>
      <c r="M336" s="284"/>
      <c r="N336" s="284"/>
      <c r="O336" s="284"/>
      <c r="P336" s="284"/>
      <c r="Q336" s="284"/>
      <c r="R336" s="284"/>
      <c r="S336" s="286"/>
    </row>
    <row r="337" spans="2:19" s="434" customFormat="1" ht="30" customHeight="1">
      <c r="B337" s="101" t="s">
        <v>113</v>
      </c>
      <c r="C337" s="129">
        <v>25</v>
      </c>
      <c r="D337" s="720" t="s">
        <v>5</v>
      </c>
      <c r="E337" s="720"/>
      <c r="F337" s="720"/>
      <c r="G337" s="720"/>
      <c r="H337" s="720"/>
      <c r="I337" s="102">
        <f>C337/100*I336</f>
        <v>3.27</v>
      </c>
      <c r="J337" s="60"/>
      <c r="K337" s="457"/>
      <c r="L337" s="284"/>
      <c r="M337" s="284"/>
      <c r="N337" s="284"/>
      <c r="O337" s="284"/>
      <c r="P337" s="284"/>
      <c r="Q337" s="284"/>
      <c r="R337" s="284"/>
      <c r="S337" s="286"/>
    </row>
    <row r="338" spans="2:19" s="434" customFormat="1" ht="30" customHeight="1" thickBot="1">
      <c r="B338" s="702" t="s">
        <v>64</v>
      </c>
      <c r="C338" s="703"/>
      <c r="D338" s="703"/>
      <c r="E338" s="703"/>
      <c r="F338" s="703"/>
      <c r="G338" s="703"/>
      <c r="H338" s="703"/>
      <c r="I338" s="188">
        <f>I337+I336</f>
        <v>16.329999999999998</v>
      </c>
      <c r="J338" s="60"/>
      <c r="K338" s="457"/>
      <c r="L338" s="284"/>
      <c r="M338" s="284"/>
      <c r="N338" s="284"/>
      <c r="O338" s="284"/>
      <c r="P338" s="284"/>
      <c r="Q338" s="284"/>
      <c r="R338" s="284"/>
      <c r="S338" s="286"/>
    </row>
    <row r="339" spans="2:19">
      <c r="B339" s="48"/>
      <c r="C339" s="48"/>
      <c r="D339" s="176"/>
      <c r="E339" s="48"/>
      <c r="F339" s="48"/>
      <c r="G339" s="48"/>
      <c r="H339" s="48"/>
      <c r="I339" s="49"/>
      <c r="J339" s="96"/>
      <c r="K339" s="280"/>
      <c r="L339" s="284"/>
      <c r="M339" s="284"/>
      <c r="N339" s="284"/>
      <c r="O339" s="284"/>
      <c r="P339" s="284"/>
      <c r="Q339" s="284"/>
      <c r="R339" s="284"/>
      <c r="S339" s="139"/>
    </row>
    <row r="340" spans="2:19">
      <c r="B340" s="48"/>
      <c r="C340" s="48"/>
      <c r="D340" s="176"/>
      <c r="E340" s="48"/>
      <c r="F340" s="48"/>
      <c r="G340" s="48"/>
      <c r="H340" s="48"/>
      <c r="I340" s="49"/>
      <c r="J340" s="96"/>
      <c r="K340" s="280"/>
      <c r="L340" s="748"/>
      <c r="M340" s="748"/>
      <c r="N340" s="748"/>
      <c r="O340" s="748"/>
      <c r="P340" s="748"/>
      <c r="Q340" s="748"/>
      <c r="R340" s="748"/>
      <c r="S340" s="748"/>
    </row>
    <row r="341" spans="2:19" ht="12.75" customHeight="1" thickBot="1">
      <c r="I341" s="96"/>
      <c r="J341" s="96"/>
    </row>
    <row r="342" spans="2:19" ht="30" customHeight="1" thickBot="1">
      <c r="B342" s="484" t="s">
        <v>43</v>
      </c>
      <c r="C342" s="484" t="s">
        <v>377</v>
      </c>
      <c r="D342" s="709" t="s">
        <v>45</v>
      </c>
      <c r="E342" s="710"/>
      <c r="F342" s="710"/>
      <c r="G342" s="710"/>
      <c r="H342" s="710"/>
      <c r="I342" s="711"/>
      <c r="J342" s="96"/>
    </row>
    <row r="343" spans="2:19" ht="30" customHeight="1">
      <c r="B343" s="712" t="s">
        <v>704</v>
      </c>
      <c r="C343" s="713"/>
      <c r="D343" s="713"/>
      <c r="E343" s="713"/>
      <c r="F343" s="713"/>
      <c r="G343" s="714"/>
      <c r="H343" s="699" t="s">
        <v>705</v>
      </c>
      <c r="I343" s="700"/>
      <c r="J343" s="96"/>
    </row>
    <row r="344" spans="2:19" ht="30" customHeight="1">
      <c r="B344" s="706" t="s">
        <v>591</v>
      </c>
      <c r="C344" s="707"/>
      <c r="D344" s="707"/>
      <c r="E344" s="707"/>
      <c r="F344" s="707"/>
      <c r="G344" s="707"/>
      <c r="H344" s="480" t="s">
        <v>66</v>
      </c>
      <c r="I344" s="184" t="s">
        <v>80</v>
      </c>
      <c r="J344" s="96"/>
    </row>
    <row r="345" spans="2:19" ht="30" customHeight="1">
      <c r="B345" s="691" t="s">
        <v>46</v>
      </c>
      <c r="C345" s="692"/>
      <c r="D345" s="692"/>
      <c r="E345" s="692"/>
      <c r="F345" s="692"/>
      <c r="G345" s="692"/>
      <c r="H345" s="708"/>
      <c r="I345" s="693"/>
      <c r="J345" s="96"/>
    </row>
    <row r="346" spans="2:19" s="434" customFormat="1" ht="25.5">
      <c r="B346" s="185" t="s">
        <v>57</v>
      </c>
      <c r="C346" s="115" t="s">
        <v>68</v>
      </c>
      <c r="D346" s="116" t="s">
        <v>48</v>
      </c>
      <c r="E346" s="116" t="s">
        <v>49</v>
      </c>
      <c r="F346" s="116" t="s">
        <v>50</v>
      </c>
      <c r="G346" s="117" t="s">
        <v>51</v>
      </c>
      <c r="H346" s="117" t="s">
        <v>52</v>
      </c>
      <c r="I346" s="186" t="s">
        <v>53</v>
      </c>
      <c r="J346" s="60"/>
    </row>
    <row r="347" spans="2:19" s="434" customFormat="1" ht="30" customHeight="1">
      <c r="B347" s="121"/>
      <c r="C347" s="179"/>
      <c r="D347" s="180"/>
      <c r="E347" s="114"/>
      <c r="F347" s="114"/>
      <c r="G347" s="55"/>
      <c r="H347" s="55"/>
      <c r="I347" s="100">
        <f>D347*E347*G347+D347*F347*H347</f>
        <v>0</v>
      </c>
      <c r="J347" s="60"/>
    </row>
    <row r="348" spans="2:19" s="434" customFormat="1" ht="30" customHeight="1">
      <c r="B348" s="704"/>
      <c r="C348" s="705"/>
      <c r="D348" s="705"/>
      <c r="E348" s="705"/>
      <c r="F348" s="705"/>
      <c r="G348" s="705"/>
      <c r="H348" s="705"/>
      <c r="I348" s="163">
        <f>SUM(I347:I347)</f>
        <v>0</v>
      </c>
      <c r="J348" s="60"/>
    </row>
    <row r="349" spans="2:19" s="434" customFormat="1" ht="30" customHeight="1">
      <c r="B349" s="691" t="s">
        <v>56</v>
      </c>
      <c r="C349" s="692"/>
      <c r="D349" s="692"/>
      <c r="E349" s="692"/>
      <c r="F349" s="692"/>
      <c r="G349" s="692"/>
      <c r="H349" s="692"/>
      <c r="I349" s="693"/>
      <c r="J349" s="60"/>
    </row>
    <row r="350" spans="2:19" s="434" customFormat="1" ht="30" customHeight="1">
      <c r="B350" s="447" t="s">
        <v>57</v>
      </c>
      <c r="C350" s="53" t="s">
        <v>68</v>
      </c>
      <c r="D350" s="177" t="s">
        <v>48</v>
      </c>
      <c r="E350" s="118"/>
      <c r="F350" s="118"/>
      <c r="G350" s="118"/>
      <c r="H350" s="58" t="s">
        <v>58</v>
      </c>
      <c r="I350" s="187" t="s">
        <v>53</v>
      </c>
      <c r="J350" s="60"/>
    </row>
    <row r="351" spans="2:19" s="434" customFormat="1" ht="30" customHeight="1">
      <c r="B351" s="119"/>
      <c r="C351" s="53"/>
      <c r="D351" s="177"/>
      <c r="E351" s="118"/>
      <c r="F351" s="118"/>
      <c r="G351" s="118"/>
      <c r="H351" s="53"/>
      <c r="I351" s="100">
        <f>D351*H351</f>
        <v>0</v>
      </c>
      <c r="J351" s="60"/>
    </row>
    <row r="352" spans="2:19" s="434" customFormat="1" ht="30" customHeight="1">
      <c r="B352" s="689" t="s">
        <v>55</v>
      </c>
      <c r="C352" s="690"/>
      <c r="D352" s="690"/>
      <c r="E352" s="690"/>
      <c r="F352" s="690"/>
      <c r="G352" s="690"/>
      <c r="H352" s="690"/>
      <c r="I352" s="100">
        <f>SUM(I351:I351)</f>
        <v>0</v>
      </c>
      <c r="J352" s="60"/>
    </row>
    <row r="353" spans="2:10" s="434" customFormat="1" ht="30" customHeight="1">
      <c r="B353" s="691" t="s">
        <v>60</v>
      </c>
      <c r="C353" s="692"/>
      <c r="D353" s="692"/>
      <c r="E353" s="692"/>
      <c r="F353" s="692"/>
      <c r="G353" s="692"/>
      <c r="H353" s="692"/>
      <c r="I353" s="693"/>
      <c r="J353" s="60"/>
    </row>
    <row r="354" spans="2:10" s="434" customFormat="1" ht="30" customHeight="1">
      <c r="B354" s="182" t="s">
        <v>57</v>
      </c>
      <c r="C354" s="53" t="s">
        <v>68</v>
      </c>
      <c r="D354" s="58" t="s">
        <v>48</v>
      </c>
      <c r="E354" s="52"/>
      <c r="F354" s="52"/>
      <c r="G354" s="52"/>
      <c r="H354" s="58" t="s">
        <v>58</v>
      </c>
      <c r="I354" s="187" t="s">
        <v>53</v>
      </c>
      <c r="J354" s="60"/>
    </row>
    <row r="355" spans="2:10" s="434" customFormat="1" ht="30" customHeight="1">
      <c r="B355" s="119" t="s">
        <v>335</v>
      </c>
      <c r="C355" s="53" t="s">
        <v>87</v>
      </c>
      <c r="D355" s="177">
        <v>5.0000000000000001E-3</v>
      </c>
      <c r="E355" s="52"/>
      <c r="F355" s="52"/>
      <c r="G355" s="52"/>
      <c r="H355" s="53">
        <f>I389</f>
        <v>358.39</v>
      </c>
      <c r="I355" s="100">
        <f>D355*H355</f>
        <v>1.79</v>
      </c>
      <c r="J355" s="60"/>
    </row>
    <row r="356" spans="2:10" s="434" customFormat="1" ht="30" customHeight="1">
      <c r="B356" s="689" t="s">
        <v>55</v>
      </c>
      <c r="C356" s="690"/>
      <c r="D356" s="690"/>
      <c r="E356" s="690"/>
      <c r="F356" s="690"/>
      <c r="G356" s="690"/>
      <c r="H356" s="690"/>
      <c r="I356" s="100">
        <f>SUM(I355:I355)</f>
        <v>1.79</v>
      </c>
      <c r="J356" s="60"/>
    </row>
    <row r="357" spans="2:10" s="434" customFormat="1" ht="30" customHeight="1">
      <c r="B357" s="691" t="s">
        <v>61</v>
      </c>
      <c r="C357" s="692"/>
      <c r="D357" s="692"/>
      <c r="E357" s="692"/>
      <c r="F357" s="692"/>
      <c r="G357" s="692"/>
      <c r="H357" s="692"/>
      <c r="I357" s="693"/>
      <c r="J357" s="60"/>
    </row>
    <row r="358" spans="2:10" s="434" customFormat="1" ht="30" customHeight="1">
      <c r="B358" s="447" t="s">
        <v>57</v>
      </c>
      <c r="C358" s="53" t="s">
        <v>68</v>
      </c>
      <c r="D358" s="177" t="s">
        <v>48</v>
      </c>
      <c r="E358" s="118"/>
      <c r="F358" s="118"/>
      <c r="G358" s="118"/>
      <c r="H358" s="58" t="s">
        <v>58</v>
      </c>
      <c r="I358" s="187" t="s">
        <v>53</v>
      </c>
      <c r="J358" s="60"/>
    </row>
    <row r="359" spans="2:10" s="434" customFormat="1" ht="30" customHeight="1">
      <c r="B359" s="119" t="s">
        <v>104</v>
      </c>
      <c r="C359" s="53" t="s">
        <v>54</v>
      </c>
      <c r="D359" s="536">
        <v>0.1</v>
      </c>
      <c r="E359" s="58"/>
      <c r="F359" s="118"/>
      <c r="G359" s="118"/>
      <c r="H359" s="53">
        <f>Insumos!D16</f>
        <v>8.69</v>
      </c>
      <c r="I359" s="100">
        <f>H359*D359</f>
        <v>0.87</v>
      </c>
      <c r="J359" s="60"/>
    </row>
    <row r="360" spans="2:10" s="434" customFormat="1" ht="30" customHeight="1">
      <c r="B360" s="119" t="s">
        <v>76</v>
      </c>
      <c r="C360" s="53" t="s">
        <v>54</v>
      </c>
      <c r="D360" s="536">
        <v>0.1</v>
      </c>
      <c r="E360" s="58"/>
      <c r="F360" s="118"/>
      <c r="G360" s="118"/>
      <c r="H360" s="53">
        <f>Insumos!D24</f>
        <v>6.53</v>
      </c>
      <c r="I360" s="100">
        <f>H360*D360</f>
        <v>0.65</v>
      </c>
      <c r="J360" s="60"/>
    </row>
    <row r="361" spans="2:10" s="434" customFormat="1" ht="30" customHeight="1">
      <c r="B361" s="689" t="s">
        <v>55</v>
      </c>
      <c r="C361" s="690"/>
      <c r="D361" s="690"/>
      <c r="E361" s="690"/>
      <c r="F361" s="690"/>
      <c r="G361" s="690"/>
      <c r="H361" s="690"/>
      <c r="I361" s="163">
        <f>SUM(I359:I360)</f>
        <v>1.52</v>
      </c>
      <c r="J361" s="60"/>
    </row>
    <row r="362" spans="2:10" s="434" customFormat="1" ht="30" customHeight="1">
      <c r="B362" s="99" t="s">
        <v>62</v>
      </c>
      <c r="C362" s="54">
        <v>1</v>
      </c>
      <c r="D362" s="690" t="s">
        <v>63</v>
      </c>
      <c r="E362" s="690"/>
      <c r="F362" s="690"/>
      <c r="G362" s="690"/>
      <c r="H362" s="690"/>
      <c r="I362" s="163">
        <f>I361+I356+I352+I348</f>
        <v>3.31</v>
      </c>
      <c r="J362" s="60"/>
    </row>
    <row r="363" spans="2:10" s="434" customFormat="1" ht="30" customHeight="1">
      <c r="B363" s="716" t="s">
        <v>77</v>
      </c>
      <c r="C363" s="717"/>
      <c r="D363" s="717"/>
      <c r="E363" s="717"/>
      <c r="F363" s="717"/>
      <c r="G363" s="717"/>
      <c r="H363" s="717"/>
      <c r="I363" s="100">
        <f>I362/C362</f>
        <v>3.31</v>
      </c>
      <c r="J363" s="60"/>
    </row>
    <row r="364" spans="2:10" s="434" customFormat="1" ht="30" customHeight="1">
      <c r="B364" s="101" t="s">
        <v>113</v>
      </c>
      <c r="C364" s="129">
        <v>25</v>
      </c>
      <c r="D364" s="720" t="s">
        <v>5</v>
      </c>
      <c r="E364" s="720"/>
      <c r="F364" s="720"/>
      <c r="G364" s="720"/>
      <c r="H364" s="720"/>
      <c r="I364" s="102">
        <f>C364/100*I363</f>
        <v>0.83</v>
      </c>
      <c r="J364" s="60"/>
    </row>
    <row r="365" spans="2:10" s="434" customFormat="1" ht="30" customHeight="1" thickBot="1">
      <c r="B365" s="702" t="s">
        <v>64</v>
      </c>
      <c r="C365" s="703"/>
      <c r="D365" s="703"/>
      <c r="E365" s="703"/>
      <c r="F365" s="703"/>
      <c r="G365" s="703"/>
      <c r="H365" s="703"/>
      <c r="I365" s="188">
        <f>I364+I363</f>
        <v>4.1399999999999997</v>
      </c>
      <c r="J365" s="60"/>
    </row>
    <row r="366" spans="2:10" s="434" customFormat="1">
      <c r="B366" s="91"/>
      <c r="C366" s="94"/>
      <c r="D366" s="178"/>
      <c r="E366" s="91"/>
      <c r="F366" s="91"/>
      <c r="G366" s="91"/>
      <c r="H366" s="91"/>
      <c r="I366" s="96"/>
      <c r="J366" s="60"/>
    </row>
    <row r="367" spans="2:10" s="434" customFormat="1">
      <c r="B367" s="91"/>
      <c r="C367" s="94"/>
      <c r="D367" s="178"/>
      <c r="E367" s="91"/>
      <c r="F367" s="91"/>
      <c r="G367" s="91"/>
      <c r="H367" s="91"/>
      <c r="I367" s="96"/>
      <c r="J367" s="60"/>
    </row>
    <row r="368" spans="2:10" ht="12.75" customHeight="1" thickBot="1">
      <c r="I368" s="96"/>
      <c r="J368" s="96"/>
    </row>
    <row r="369" spans="2:10" ht="12.75" customHeight="1" thickBot="1">
      <c r="B369" s="484" t="s">
        <v>43</v>
      </c>
      <c r="C369" s="485" t="s">
        <v>375</v>
      </c>
      <c r="D369" s="709" t="s">
        <v>45</v>
      </c>
      <c r="E369" s="710"/>
      <c r="F369" s="710"/>
      <c r="G369" s="710"/>
      <c r="H369" s="710"/>
      <c r="I369" s="711"/>
      <c r="J369" s="96"/>
    </row>
    <row r="370" spans="2:10" ht="12.75" customHeight="1">
      <c r="B370" s="712" t="s">
        <v>704</v>
      </c>
      <c r="C370" s="713"/>
      <c r="D370" s="713"/>
      <c r="E370" s="713"/>
      <c r="F370" s="713"/>
      <c r="G370" s="714"/>
      <c r="H370" s="699" t="s">
        <v>705</v>
      </c>
      <c r="I370" s="700"/>
      <c r="J370" s="96"/>
    </row>
    <row r="371" spans="2:10" ht="30" customHeight="1">
      <c r="B371" s="706" t="s">
        <v>590</v>
      </c>
      <c r="C371" s="707"/>
      <c r="D371" s="707"/>
      <c r="E371" s="707"/>
      <c r="F371" s="707"/>
      <c r="G371" s="707"/>
      <c r="H371" s="480" t="s">
        <v>66</v>
      </c>
      <c r="I371" s="184" t="s">
        <v>87</v>
      </c>
      <c r="J371" s="96"/>
    </row>
    <row r="372" spans="2:10" ht="30" customHeight="1">
      <c r="B372" s="691" t="s">
        <v>46</v>
      </c>
      <c r="C372" s="692"/>
      <c r="D372" s="692"/>
      <c r="E372" s="692"/>
      <c r="F372" s="692"/>
      <c r="G372" s="692"/>
      <c r="H372" s="708"/>
      <c r="I372" s="693"/>
      <c r="J372" s="96"/>
    </row>
    <row r="373" spans="2:10" ht="42" customHeight="1">
      <c r="B373" s="185" t="s">
        <v>57</v>
      </c>
      <c r="C373" s="115" t="s">
        <v>68</v>
      </c>
      <c r="D373" s="116" t="s">
        <v>48</v>
      </c>
      <c r="E373" s="116" t="s">
        <v>49</v>
      </c>
      <c r="F373" s="116" t="s">
        <v>50</v>
      </c>
      <c r="G373" s="117" t="s">
        <v>51</v>
      </c>
      <c r="H373" s="117" t="s">
        <v>52</v>
      </c>
      <c r="I373" s="186" t="s">
        <v>53</v>
      </c>
      <c r="J373" s="96"/>
    </row>
    <row r="374" spans="2:10" ht="30" customHeight="1">
      <c r="B374" s="384" t="s">
        <v>299</v>
      </c>
      <c r="C374" s="179" t="s">
        <v>54</v>
      </c>
      <c r="D374" s="180">
        <v>0.51400000000000001</v>
      </c>
      <c r="E374" s="114"/>
      <c r="F374" s="114"/>
      <c r="G374" s="55"/>
      <c r="H374" s="55">
        <f>bet</f>
        <v>3.27</v>
      </c>
      <c r="I374" s="100">
        <f>D374*H374</f>
        <v>1.68</v>
      </c>
      <c r="J374" s="96"/>
    </row>
    <row r="375" spans="2:10">
      <c r="B375" s="704"/>
      <c r="C375" s="705"/>
      <c r="D375" s="705"/>
      <c r="E375" s="705"/>
      <c r="F375" s="705"/>
      <c r="G375" s="705"/>
      <c r="H375" s="705"/>
      <c r="I375" s="163">
        <f>SUM(I374:I374)</f>
        <v>1.68</v>
      </c>
      <c r="J375" s="96"/>
    </row>
    <row r="376" spans="2:10" s="434" customFormat="1" ht="30" customHeight="1">
      <c r="B376" s="691" t="s">
        <v>56</v>
      </c>
      <c r="C376" s="692"/>
      <c r="D376" s="692"/>
      <c r="E376" s="692"/>
      <c r="F376" s="692"/>
      <c r="G376" s="692"/>
      <c r="H376" s="692"/>
      <c r="I376" s="693"/>
      <c r="J376" s="60"/>
    </row>
    <row r="377" spans="2:10" s="434" customFormat="1" ht="30" customHeight="1">
      <c r="B377" s="447" t="s">
        <v>57</v>
      </c>
      <c r="C377" s="53" t="s">
        <v>68</v>
      </c>
      <c r="D377" s="177" t="s">
        <v>48</v>
      </c>
      <c r="E377" s="118"/>
      <c r="F377" s="118"/>
      <c r="G377" s="118"/>
      <c r="H377" s="58" t="s">
        <v>58</v>
      </c>
      <c r="I377" s="187" t="s">
        <v>53</v>
      </c>
      <c r="J377" s="60"/>
    </row>
    <row r="378" spans="2:10" s="434" customFormat="1" ht="30" customHeight="1">
      <c r="B378" s="119" t="s">
        <v>174</v>
      </c>
      <c r="C378" s="53" t="s">
        <v>87</v>
      </c>
      <c r="D378" s="177">
        <v>1.2969999999999999</v>
      </c>
      <c r="E378" s="118"/>
      <c r="F378" s="118"/>
      <c r="G378" s="118"/>
      <c r="H378" s="53">
        <f>Insumos!D39</f>
        <v>70</v>
      </c>
      <c r="I378" s="100">
        <f>D378*H378</f>
        <v>90.79</v>
      </c>
      <c r="J378" s="60"/>
    </row>
    <row r="379" spans="2:10" s="434" customFormat="1" ht="30" customHeight="1">
      <c r="B379" s="119" t="s">
        <v>336</v>
      </c>
      <c r="C379" s="53" t="s">
        <v>74</v>
      </c>
      <c r="D379" s="177">
        <v>460</v>
      </c>
      <c r="E379" s="535"/>
      <c r="F379" s="118"/>
      <c r="G379" s="118"/>
      <c r="H379" s="53">
        <f>Insumos!D38</f>
        <v>0.5</v>
      </c>
      <c r="I379" s="100">
        <f>D379*H379</f>
        <v>230</v>
      </c>
      <c r="J379" s="60"/>
    </row>
    <row r="380" spans="2:10" s="434" customFormat="1" ht="30" customHeight="1">
      <c r="B380" s="689" t="s">
        <v>55</v>
      </c>
      <c r="C380" s="690"/>
      <c r="D380" s="690"/>
      <c r="E380" s="690"/>
      <c r="F380" s="690"/>
      <c r="G380" s="690"/>
      <c r="H380" s="690"/>
      <c r="I380" s="100">
        <f>SUM(I378:I379)</f>
        <v>320.79000000000002</v>
      </c>
      <c r="J380" s="60"/>
    </row>
    <row r="381" spans="2:10" s="434" customFormat="1" ht="30" customHeight="1">
      <c r="B381" s="691" t="s">
        <v>60</v>
      </c>
      <c r="C381" s="692"/>
      <c r="D381" s="692"/>
      <c r="E381" s="692"/>
      <c r="F381" s="692"/>
      <c r="G381" s="692"/>
      <c r="H381" s="692"/>
      <c r="I381" s="693"/>
      <c r="J381" s="60"/>
    </row>
    <row r="382" spans="2:10" s="434" customFormat="1" ht="30" customHeight="1">
      <c r="B382" s="182" t="s">
        <v>57</v>
      </c>
      <c r="C382" s="53" t="s">
        <v>68</v>
      </c>
      <c r="D382" s="58" t="s">
        <v>48</v>
      </c>
      <c r="E382" s="52"/>
      <c r="F382" s="52"/>
      <c r="G382" s="52"/>
      <c r="H382" s="58" t="s">
        <v>58</v>
      </c>
      <c r="I382" s="187" t="s">
        <v>53</v>
      </c>
      <c r="J382" s="60"/>
    </row>
    <row r="383" spans="2:10" s="434" customFormat="1" ht="30" customHeight="1">
      <c r="B383" s="271"/>
      <c r="C383" s="179" t="s">
        <v>80</v>
      </c>
      <c r="D383" s="270"/>
      <c r="E383" s="52"/>
      <c r="F383" s="52"/>
      <c r="G383" s="52"/>
      <c r="H383" s="58"/>
      <c r="I383" s="100"/>
      <c r="J383" s="60"/>
    </row>
    <row r="384" spans="2:10" s="434" customFormat="1" ht="30" customHeight="1">
      <c r="B384" s="689" t="s">
        <v>55</v>
      </c>
      <c r="C384" s="690"/>
      <c r="D384" s="690"/>
      <c r="E384" s="690"/>
      <c r="F384" s="690"/>
      <c r="G384" s="690"/>
      <c r="H384" s="690"/>
      <c r="I384" s="100">
        <f>SUM(I383:I383)</f>
        <v>0</v>
      </c>
      <c r="J384" s="60"/>
    </row>
    <row r="385" spans="2:10" s="434" customFormat="1" ht="30" customHeight="1">
      <c r="B385" s="691" t="s">
        <v>61</v>
      </c>
      <c r="C385" s="692"/>
      <c r="D385" s="692"/>
      <c r="E385" s="692"/>
      <c r="F385" s="692"/>
      <c r="G385" s="692"/>
      <c r="H385" s="692"/>
      <c r="I385" s="693"/>
      <c r="J385" s="60"/>
    </row>
    <row r="386" spans="2:10" s="434" customFormat="1" ht="30" customHeight="1">
      <c r="B386" s="447" t="s">
        <v>57</v>
      </c>
      <c r="C386" s="53" t="s">
        <v>68</v>
      </c>
      <c r="D386" s="177" t="s">
        <v>48</v>
      </c>
      <c r="E386" s="118"/>
      <c r="F386" s="118"/>
      <c r="G386" s="118"/>
      <c r="H386" s="58" t="s">
        <v>58</v>
      </c>
      <c r="I386" s="187" t="s">
        <v>53</v>
      </c>
      <c r="J386" s="60"/>
    </row>
    <row r="387" spans="2:10" s="434" customFormat="1" ht="30" customHeight="1">
      <c r="B387" s="119" t="s">
        <v>76</v>
      </c>
      <c r="C387" s="53" t="s">
        <v>54</v>
      </c>
      <c r="D387" s="536">
        <v>5.5</v>
      </c>
      <c r="E387" s="58"/>
      <c r="F387" s="118"/>
      <c r="G387" s="118"/>
      <c r="H387" s="53">
        <f>Insumos!D24</f>
        <v>6.53</v>
      </c>
      <c r="I387" s="100">
        <f>H387*D387</f>
        <v>35.92</v>
      </c>
      <c r="J387" s="60"/>
    </row>
    <row r="388" spans="2:10" s="434" customFormat="1" ht="30" customHeight="1">
      <c r="B388" s="689" t="s">
        <v>55</v>
      </c>
      <c r="C388" s="690"/>
      <c r="D388" s="690"/>
      <c r="E388" s="690"/>
      <c r="F388" s="690"/>
      <c r="G388" s="690"/>
      <c r="H388" s="690"/>
      <c r="I388" s="163">
        <f>SUM(I387:I387)</f>
        <v>35.92</v>
      </c>
      <c r="J388" s="60"/>
    </row>
    <row r="389" spans="2:10" s="434" customFormat="1" ht="30" customHeight="1">
      <c r="B389" s="99" t="s">
        <v>62</v>
      </c>
      <c r="C389" s="54">
        <v>1</v>
      </c>
      <c r="D389" s="690" t="s">
        <v>63</v>
      </c>
      <c r="E389" s="690"/>
      <c r="F389" s="690"/>
      <c r="G389" s="690"/>
      <c r="H389" s="690"/>
      <c r="I389" s="163">
        <f>I388+I384+I380+I375</f>
        <v>358.39</v>
      </c>
      <c r="J389" s="60"/>
    </row>
    <row r="390" spans="2:10" s="434" customFormat="1" ht="30" customHeight="1">
      <c r="B390" s="716" t="s">
        <v>77</v>
      </c>
      <c r="C390" s="717"/>
      <c r="D390" s="717"/>
      <c r="E390" s="717"/>
      <c r="F390" s="717"/>
      <c r="G390" s="717"/>
      <c r="H390" s="717"/>
      <c r="I390" s="100">
        <f>I389/C389</f>
        <v>358.39</v>
      </c>
      <c r="J390" s="60"/>
    </row>
    <row r="391" spans="2:10" s="434" customFormat="1" ht="30" customHeight="1">
      <c r="B391" s="101" t="s">
        <v>113</v>
      </c>
      <c r="C391" s="129">
        <v>25</v>
      </c>
      <c r="D391" s="720" t="s">
        <v>5</v>
      </c>
      <c r="E391" s="720"/>
      <c r="F391" s="720"/>
      <c r="G391" s="720"/>
      <c r="H391" s="720"/>
      <c r="I391" s="102">
        <f>C391/100*I390</f>
        <v>89.6</v>
      </c>
      <c r="J391" s="60"/>
    </row>
    <row r="392" spans="2:10" s="434" customFormat="1" ht="30" customHeight="1" thickBot="1">
      <c r="B392" s="702" t="s">
        <v>64</v>
      </c>
      <c r="C392" s="703"/>
      <c r="D392" s="703"/>
      <c r="E392" s="703"/>
      <c r="F392" s="703"/>
      <c r="G392" s="703"/>
      <c r="H392" s="703"/>
      <c r="I392" s="188">
        <f>I391+I390</f>
        <v>447.99</v>
      </c>
      <c r="J392" s="60"/>
    </row>
    <row r="393" spans="2:10" s="434" customFormat="1">
      <c r="B393" s="91"/>
      <c r="C393" s="94"/>
      <c r="D393" s="178"/>
      <c r="E393" s="91"/>
      <c r="F393" s="91"/>
      <c r="G393" s="91"/>
      <c r="H393" s="91"/>
      <c r="I393" s="96"/>
      <c r="J393" s="60"/>
    </row>
    <row r="394" spans="2:10" s="434" customFormat="1">
      <c r="B394" s="91"/>
      <c r="C394" s="94"/>
      <c r="D394" s="178"/>
      <c r="E394" s="91"/>
      <c r="F394" s="91"/>
      <c r="G394" s="91"/>
      <c r="H394" s="91"/>
      <c r="I394" s="96"/>
      <c r="J394" s="60"/>
    </row>
    <row r="395" spans="2:10" s="434" customFormat="1" ht="13.5" thickBot="1">
      <c r="B395" s="91"/>
      <c r="C395" s="94"/>
      <c r="D395" s="178"/>
      <c r="E395" s="91"/>
      <c r="F395" s="91"/>
      <c r="G395" s="91"/>
      <c r="H395" s="91"/>
      <c r="I395" s="96"/>
      <c r="J395" s="60"/>
    </row>
    <row r="396" spans="2:10" ht="16.5" thickBot="1">
      <c r="B396" s="484" t="s">
        <v>43</v>
      </c>
      <c r="C396" s="485" t="s">
        <v>390</v>
      </c>
      <c r="D396" s="722" t="s">
        <v>45</v>
      </c>
      <c r="E396" s="722"/>
      <c r="F396" s="722"/>
      <c r="G396" s="722"/>
      <c r="H396" s="722"/>
      <c r="I396" s="723"/>
      <c r="J396" s="96"/>
    </row>
    <row r="397" spans="2:10" ht="30" customHeight="1">
      <c r="B397" s="712" t="s">
        <v>704</v>
      </c>
      <c r="C397" s="713"/>
      <c r="D397" s="713"/>
      <c r="E397" s="713"/>
      <c r="F397" s="713"/>
      <c r="G397" s="714"/>
      <c r="H397" s="699" t="s">
        <v>705</v>
      </c>
      <c r="I397" s="700"/>
      <c r="J397" s="96"/>
    </row>
    <row r="398" spans="2:10" ht="30" customHeight="1">
      <c r="B398" s="706" t="s">
        <v>389</v>
      </c>
      <c r="C398" s="707"/>
      <c r="D398" s="707"/>
      <c r="E398" s="707"/>
      <c r="F398" s="707"/>
      <c r="G398" s="707"/>
      <c r="H398" s="480" t="s">
        <v>66</v>
      </c>
      <c r="I398" s="184" t="s">
        <v>87</v>
      </c>
      <c r="J398" s="96"/>
    </row>
    <row r="399" spans="2:10" ht="30" customHeight="1">
      <c r="B399" s="691" t="s">
        <v>46</v>
      </c>
      <c r="C399" s="692"/>
      <c r="D399" s="692"/>
      <c r="E399" s="692"/>
      <c r="F399" s="692"/>
      <c r="G399" s="692"/>
      <c r="H399" s="708"/>
      <c r="I399" s="693"/>
      <c r="J399" s="96"/>
    </row>
    <row r="400" spans="2:10" ht="30" customHeight="1">
      <c r="B400" s="185" t="s">
        <v>57</v>
      </c>
      <c r="C400" s="58" t="s">
        <v>68</v>
      </c>
      <c r="D400" s="177" t="s">
        <v>48</v>
      </c>
      <c r="E400" s="177" t="s">
        <v>49</v>
      </c>
      <c r="F400" s="177" t="s">
        <v>50</v>
      </c>
      <c r="G400" s="117" t="s">
        <v>51</v>
      </c>
      <c r="H400" s="117" t="s">
        <v>52</v>
      </c>
      <c r="I400" s="187" t="s">
        <v>53</v>
      </c>
      <c r="J400" s="96"/>
    </row>
    <row r="401" spans="2:10" s="434" customFormat="1" ht="30" customHeight="1">
      <c r="B401" s="189" t="s">
        <v>299</v>
      </c>
      <c r="C401" s="58" t="s">
        <v>54</v>
      </c>
      <c r="D401" s="114">
        <v>0.71399999999999997</v>
      </c>
      <c r="E401" s="114"/>
      <c r="F401" s="114"/>
      <c r="G401" s="55"/>
      <c r="H401" s="53">
        <f>bet</f>
        <v>3.27</v>
      </c>
      <c r="I401" s="164">
        <f>H401*D401</f>
        <v>2.33</v>
      </c>
      <c r="J401" s="60"/>
    </row>
    <row r="402" spans="2:10" s="434" customFormat="1" ht="30" customHeight="1">
      <c r="B402" s="724" t="s">
        <v>55</v>
      </c>
      <c r="C402" s="725"/>
      <c r="D402" s="725"/>
      <c r="E402" s="725"/>
      <c r="F402" s="725"/>
      <c r="G402" s="725"/>
      <c r="H402" s="726"/>
      <c r="I402" s="463">
        <f>SUM(I401:I401)</f>
        <v>2.33</v>
      </c>
      <c r="J402" s="60"/>
    </row>
    <row r="403" spans="2:10" s="434" customFormat="1" ht="30" customHeight="1">
      <c r="B403" s="691" t="s">
        <v>56</v>
      </c>
      <c r="C403" s="692"/>
      <c r="D403" s="692"/>
      <c r="E403" s="692"/>
      <c r="F403" s="692"/>
      <c r="G403" s="692"/>
      <c r="H403" s="692"/>
      <c r="I403" s="693"/>
      <c r="J403" s="60"/>
    </row>
    <row r="404" spans="2:10" s="434" customFormat="1" ht="30" customHeight="1">
      <c r="B404" s="185" t="s">
        <v>57</v>
      </c>
      <c r="C404" s="58" t="s">
        <v>68</v>
      </c>
      <c r="D404" s="177" t="s">
        <v>48</v>
      </c>
      <c r="E404" s="118"/>
      <c r="F404" s="118"/>
      <c r="G404" s="118"/>
      <c r="H404" s="58" t="s">
        <v>58</v>
      </c>
      <c r="I404" s="187" t="s">
        <v>53</v>
      </c>
      <c r="J404" s="60"/>
    </row>
    <row r="405" spans="2:10" s="434" customFormat="1" ht="30" customHeight="1">
      <c r="B405" s="520" t="s">
        <v>102</v>
      </c>
      <c r="C405" s="337" t="s">
        <v>74</v>
      </c>
      <c r="D405" s="390">
        <v>150</v>
      </c>
      <c r="E405" s="118"/>
      <c r="F405" s="118"/>
      <c r="G405" s="118"/>
      <c r="H405" s="53">
        <f>Insumos!D38</f>
        <v>0.5</v>
      </c>
      <c r="I405" s="164">
        <f>D405*H405</f>
        <v>75</v>
      </c>
      <c r="J405" s="60"/>
    </row>
    <row r="406" spans="2:10" s="434" customFormat="1" ht="30" customHeight="1">
      <c r="B406" s="520" t="s">
        <v>175</v>
      </c>
      <c r="C406" s="337" t="s">
        <v>87</v>
      </c>
      <c r="D406" s="390">
        <v>0.58399999999999996</v>
      </c>
      <c r="E406" s="118"/>
      <c r="F406" s="118"/>
      <c r="G406" s="118"/>
      <c r="H406" s="53">
        <f>Insumos!D43</f>
        <v>70</v>
      </c>
      <c r="I406" s="164">
        <f>D406*H406</f>
        <v>40.880000000000003</v>
      </c>
      <c r="J406" s="60"/>
    </row>
    <row r="407" spans="2:10" s="434" customFormat="1" ht="30" customHeight="1">
      <c r="B407" s="520" t="s">
        <v>88</v>
      </c>
      <c r="C407" s="337" t="s">
        <v>87</v>
      </c>
      <c r="D407" s="390">
        <v>0.45600000000000002</v>
      </c>
      <c r="E407" s="118"/>
      <c r="F407" s="118"/>
      <c r="G407" s="118"/>
      <c r="H407" s="53">
        <f>Insumos!D61</f>
        <v>68.13</v>
      </c>
      <c r="I407" s="164">
        <f>D407*H407</f>
        <v>31.07</v>
      </c>
      <c r="J407" s="60"/>
    </row>
    <row r="408" spans="2:10" s="434" customFormat="1" ht="30" customHeight="1">
      <c r="B408" s="520" t="s">
        <v>103</v>
      </c>
      <c r="C408" s="337" t="s">
        <v>87</v>
      </c>
      <c r="D408" s="390">
        <v>0.45600000000000002</v>
      </c>
      <c r="E408" s="118"/>
      <c r="F408" s="118"/>
      <c r="G408" s="118"/>
      <c r="H408" s="53">
        <f>Insumos!D60</f>
        <v>65.8</v>
      </c>
      <c r="I408" s="164">
        <f>D408*H408</f>
        <v>30</v>
      </c>
      <c r="J408" s="60"/>
    </row>
    <row r="409" spans="2:10" s="434" customFormat="1" ht="30" customHeight="1">
      <c r="B409" s="724" t="s">
        <v>55</v>
      </c>
      <c r="C409" s="725"/>
      <c r="D409" s="725"/>
      <c r="E409" s="725"/>
      <c r="F409" s="725"/>
      <c r="G409" s="725"/>
      <c r="H409" s="726"/>
      <c r="I409" s="164">
        <f>SUM(I405:I408)</f>
        <v>176.95</v>
      </c>
      <c r="J409" s="60"/>
    </row>
    <row r="410" spans="2:10" s="434" customFormat="1" ht="30" customHeight="1">
      <c r="B410" s="691" t="s">
        <v>60</v>
      </c>
      <c r="C410" s="692"/>
      <c r="D410" s="692"/>
      <c r="E410" s="692"/>
      <c r="F410" s="692"/>
      <c r="G410" s="692"/>
      <c r="H410" s="692"/>
      <c r="I410" s="693"/>
      <c r="J410" s="60"/>
    </row>
    <row r="411" spans="2:10" s="434" customFormat="1" ht="30" customHeight="1">
      <c r="B411" s="181" t="s">
        <v>57</v>
      </c>
      <c r="C411" s="58" t="s">
        <v>68</v>
      </c>
      <c r="D411" s="58" t="s">
        <v>48</v>
      </c>
      <c r="E411" s="52"/>
      <c r="F411" s="52"/>
      <c r="G411" s="52"/>
      <c r="H411" s="58" t="s">
        <v>58</v>
      </c>
      <c r="I411" s="187" t="s">
        <v>53</v>
      </c>
      <c r="J411" s="60"/>
    </row>
    <row r="412" spans="2:10" s="434" customFormat="1" ht="30" customHeight="1">
      <c r="B412" s="119"/>
      <c r="C412" s="58"/>
      <c r="D412" s="114"/>
      <c r="E412" s="52"/>
      <c r="F412" s="52"/>
      <c r="G412" s="52"/>
      <c r="H412" s="53"/>
      <c r="I412" s="164">
        <f>D412*H412</f>
        <v>0</v>
      </c>
      <c r="J412" s="60"/>
    </row>
    <row r="413" spans="2:10" s="434" customFormat="1" ht="30" customHeight="1">
      <c r="B413" s="724" t="s">
        <v>55</v>
      </c>
      <c r="C413" s="725"/>
      <c r="D413" s="725"/>
      <c r="E413" s="725"/>
      <c r="F413" s="725"/>
      <c r="G413" s="725"/>
      <c r="H413" s="726"/>
      <c r="I413" s="164">
        <f>SUM(I412:I412)</f>
        <v>0</v>
      </c>
      <c r="J413" s="60"/>
    </row>
    <row r="414" spans="2:10" s="434" customFormat="1" ht="30" customHeight="1">
      <c r="B414" s="691" t="s">
        <v>61</v>
      </c>
      <c r="C414" s="692"/>
      <c r="D414" s="692"/>
      <c r="E414" s="692"/>
      <c r="F414" s="692"/>
      <c r="G414" s="692"/>
      <c r="H414" s="692"/>
      <c r="I414" s="693"/>
      <c r="J414" s="60"/>
    </row>
    <row r="415" spans="2:10" s="434" customFormat="1" ht="30" customHeight="1">
      <c r="B415" s="185" t="s">
        <v>57</v>
      </c>
      <c r="C415" s="58" t="s">
        <v>68</v>
      </c>
      <c r="D415" s="177" t="s">
        <v>48</v>
      </c>
      <c r="E415" s="118"/>
      <c r="F415" s="118"/>
      <c r="G415" s="118"/>
      <c r="H415" s="58" t="s">
        <v>58</v>
      </c>
      <c r="I415" s="187" t="s">
        <v>53</v>
      </c>
      <c r="J415" s="60"/>
    </row>
    <row r="416" spans="2:10" s="434" customFormat="1" ht="30" customHeight="1">
      <c r="B416" s="520" t="s">
        <v>76</v>
      </c>
      <c r="C416" s="337" t="s">
        <v>54</v>
      </c>
      <c r="D416" s="390">
        <v>6</v>
      </c>
      <c r="E416" s="118"/>
      <c r="F416" s="118"/>
      <c r="G416" s="118"/>
      <c r="H416" s="53">
        <f>Insumos!D24</f>
        <v>6.53</v>
      </c>
      <c r="I416" s="164">
        <f>D416*H416</f>
        <v>39.18</v>
      </c>
      <c r="J416" s="60"/>
    </row>
    <row r="417" spans="2:10" s="434" customFormat="1" ht="30" customHeight="1">
      <c r="B417" s="689" t="s">
        <v>55</v>
      </c>
      <c r="C417" s="690"/>
      <c r="D417" s="690"/>
      <c r="E417" s="690"/>
      <c r="F417" s="690"/>
      <c r="G417" s="690"/>
      <c r="H417" s="690"/>
      <c r="I417" s="163">
        <f>SUM(I416:I416)</f>
        <v>39.18</v>
      </c>
      <c r="J417" s="60"/>
    </row>
    <row r="418" spans="2:10" s="434" customFormat="1" ht="30" customHeight="1">
      <c r="B418" s="99" t="s">
        <v>62</v>
      </c>
      <c r="C418" s="54">
        <v>1</v>
      </c>
      <c r="D418" s="690" t="s">
        <v>63</v>
      </c>
      <c r="E418" s="690"/>
      <c r="F418" s="690"/>
      <c r="G418" s="690"/>
      <c r="H418" s="690"/>
      <c r="I418" s="163">
        <f>I417+I413+I409+I402</f>
        <v>218.46</v>
      </c>
      <c r="J418" s="60"/>
    </row>
    <row r="419" spans="2:10" s="434" customFormat="1" ht="30" customHeight="1">
      <c r="B419" s="716" t="s">
        <v>77</v>
      </c>
      <c r="C419" s="717"/>
      <c r="D419" s="717"/>
      <c r="E419" s="717"/>
      <c r="F419" s="717"/>
      <c r="G419" s="717"/>
      <c r="H419" s="717"/>
      <c r="I419" s="100">
        <f>I418/C418</f>
        <v>218.46</v>
      </c>
      <c r="J419" s="60"/>
    </row>
    <row r="420" spans="2:10" s="434" customFormat="1" ht="30" customHeight="1">
      <c r="B420" s="101" t="s">
        <v>113</v>
      </c>
      <c r="C420" s="129">
        <v>25</v>
      </c>
      <c r="D420" s="720" t="s">
        <v>5</v>
      </c>
      <c r="E420" s="720"/>
      <c r="F420" s="720"/>
      <c r="G420" s="720"/>
      <c r="H420" s="720"/>
      <c r="I420" s="102">
        <f>C420/100*I419</f>
        <v>54.62</v>
      </c>
      <c r="J420" s="60"/>
    </row>
    <row r="421" spans="2:10" ht="16.5" thickBot="1">
      <c r="B421" s="702" t="s">
        <v>64</v>
      </c>
      <c r="C421" s="703"/>
      <c r="D421" s="703"/>
      <c r="E421" s="703"/>
      <c r="F421" s="703"/>
      <c r="G421" s="703"/>
      <c r="H421" s="703"/>
      <c r="I421" s="188">
        <f>I420+I419</f>
        <v>273.08</v>
      </c>
      <c r="J421" s="96"/>
    </row>
    <row r="422" spans="2:10">
      <c r="I422" s="96"/>
      <c r="J422" s="96"/>
    </row>
    <row r="423" spans="2:10">
      <c r="I423" s="96"/>
      <c r="J423" s="96"/>
    </row>
    <row r="424" spans="2:10" ht="13.5" thickBot="1">
      <c r="I424" s="96"/>
      <c r="J424" s="96"/>
    </row>
    <row r="425" spans="2:10" ht="30" customHeight="1" thickBot="1">
      <c r="B425" s="484" t="s">
        <v>43</v>
      </c>
      <c r="C425" s="485" t="s">
        <v>434</v>
      </c>
      <c r="D425" s="722" t="s">
        <v>45</v>
      </c>
      <c r="E425" s="722"/>
      <c r="F425" s="722"/>
      <c r="G425" s="722"/>
      <c r="H425" s="722"/>
      <c r="I425" s="723"/>
      <c r="J425" s="96"/>
    </row>
    <row r="426" spans="2:10" ht="30" customHeight="1">
      <c r="B426" s="712" t="s">
        <v>704</v>
      </c>
      <c r="C426" s="713"/>
      <c r="D426" s="713"/>
      <c r="E426" s="713"/>
      <c r="F426" s="713"/>
      <c r="G426" s="714"/>
      <c r="H426" s="699" t="s">
        <v>705</v>
      </c>
      <c r="I426" s="700"/>
      <c r="J426" s="96"/>
    </row>
    <row r="427" spans="2:10" ht="30" customHeight="1">
      <c r="B427" s="706" t="s">
        <v>589</v>
      </c>
      <c r="C427" s="707"/>
      <c r="D427" s="707"/>
      <c r="E427" s="707"/>
      <c r="F427" s="707"/>
      <c r="G427" s="707"/>
      <c r="H427" s="480" t="s">
        <v>66</v>
      </c>
      <c r="I427" s="184" t="s">
        <v>80</v>
      </c>
      <c r="J427" s="96"/>
    </row>
    <row r="428" spans="2:10" ht="15.75">
      <c r="B428" s="691" t="s">
        <v>46</v>
      </c>
      <c r="C428" s="692"/>
      <c r="D428" s="692"/>
      <c r="E428" s="692"/>
      <c r="F428" s="692"/>
      <c r="G428" s="692"/>
      <c r="H428" s="708"/>
      <c r="I428" s="693"/>
      <c r="J428" s="96"/>
    </row>
    <row r="429" spans="2:10" ht="27" customHeight="1">
      <c r="B429" s="185" t="s">
        <v>57</v>
      </c>
      <c r="C429" s="120" t="s">
        <v>68</v>
      </c>
      <c r="D429" s="116" t="s">
        <v>48</v>
      </c>
      <c r="E429" s="116" t="s">
        <v>49</v>
      </c>
      <c r="F429" s="116" t="s">
        <v>50</v>
      </c>
      <c r="G429" s="117" t="s">
        <v>51</v>
      </c>
      <c r="H429" s="117" t="s">
        <v>52</v>
      </c>
      <c r="I429" s="186" t="s">
        <v>53</v>
      </c>
      <c r="J429" s="96"/>
    </row>
    <row r="430" spans="2:10" s="434" customFormat="1" ht="23.25" customHeight="1">
      <c r="B430" s="189" t="s">
        <v>450</v>
      </c>
      <c r="C430" s="58" t="s">
        <v>54</v>
      </c>
      <c r="D430" s="114">
        <v>0.8</v>
      </c>
      <c r="E430" s="114"/>
      <c r="F430" s="114"/>
      <c r="G430" s="55"/>
      <c r="H430" s="53">
        <f>Insumos!D97</f>
        <v>2.8</v>
      </c>
      <c r="I430" s="164">
        <f>H430*D430</f>
        <v>2.2400000000000002</v>
      </c>
      <c r="J430" s="60"/>
    </row>
    <row r="431" spans="2:10" s="434" customFormat="1" ht="30" customHeight="1">
      <c r="B431" s="189" t="s">
        <v>451</v>
      </c>
      <c r="C431" s="58" t="s">
        <v>54</v>
      </c>
      <c r="D431" s="114">
        <v>0.5</v>
      </c>
      <c r="E431" s="114"/>
      <c r="F431" s="114"/>
      <c r="G431" s="55"/>
      <c r="H431" s="53">
        <f>Insumos!D98</f>
        <v>3.38</v>
      </c>
      <c r="I431" s="164">
        <f>H431*D431</f>
        <v>1.69</v>
      </c>
      <c r="J431" s="60"/>
    </row>
    <row r="432" spans="2:10" s="434" customFormat="1" ht="30" customHeight="1">
      <c r="B432" s="724" t="s">
        <v>55</v>
      </c>
      <c r="C432" s="725"/>
      <c r="D432" s="725"/>
      <c r="E432" s="725"/>
      <c r="F432" s="725"/>
      <c r="G432" s="725"/>
      <c r="H432" s="726"/>
      <c r="I432" s="463">
        <f>SUM(I430:I431)</f>
        <v>3.93</v>
      </c>
      <c r="J432" s="60"/>
    </row>
    <row r="433" spans="2:10" s="434" customFormat="1" ht="24.95" customHeight="1">
      <c r="B433" s="691" t="s">
        <v>56</v>
      </c>
      <c r="C433" s="692"/>
      <c r="D433" s="692"/>
      <c r="E433" s="692"/>
      <c r="F433" s="692"/>
      <c r="G433" s="692"/>
      <c r="H433" s="692"/>
      <c r="I433" s="693"/>
      <c r="J433" s="60"/>
    </row>
    <row r="434" spans="2:10" s="434" customFormat="1" ht="24.95" customHeight="1">
      <c r="B434" s="185" t="s">
        <v>57</v>
      </c>
      <c r="C434" s="58" t="s">
        <v>68</v>
      </c>
      <c r="D434" s="177" t="s">
        <v>48</v>
      </c>
      <c r="E434" s="118"/>
      <c r="F434" s="118"/>
      <c r="G434" s="118"/>
      <c r="H434" s="58" t="s">
        <v>58</v>
      </c>
      <c r="I434" s="187" t="s">
        <v>53</v>
      </c>
      <c r="J434" s="60"/>
    </row>
    <row r="435" spans="2:10" s="434" customFormat="1" ht="24.95" customHeight="1">
      <c r="B435" s="119" t="s">
        <v>448</v>
      </c>
      <c r="C435" s="58" t="s">
        <v>449</v>
      </c>
      <c r="D435" s="114">
        <v>0.1</v>
      </c>
      <c r="E435" s="118"/>
      <c r="F435" s="118"/>
      <c r="G435" s="118"/>
      <c r="H435" s="53">
        <f>Insumos!D74</f>
        <v>48.94</v>
      </c>
      <c r="I435" s="164">
        <f>D435*H435</f>
        <v>4.8899999999999997</v>
      </c>
      <c r="J435" s="60"/>
    </row>
    <row r="436" spans="2:10" s="434" customFormat="1" ht="24.95" customHeight="1">
      <c r="B436" s="724" t="s">
        <v>55</v>
      </c>
      <c r="C436" s="725"/>
      <c r="D436" s="725"/>
      <c r="E436" s="725"/>
      <c r="F436" s="725"/>
      <c r="G436" s="725"/>
      <c r="H436" s="726"/>
      <c r="I436" s="164">
        <f>SUM(I435:I435)</f>
        <v>4.8899999999999997</v>
      </c>
      <c r="J436" s="60"/>
    </row>
    <row r="437" spans="2:10" s="434" customFormat="1" ht="24.95" customHeight="1">
      <c r="B437" s="691" t="s">
        <v>60</v>
      </c>
      <c r="C437" s="692"/>
      <c r="D437" s="692"/>
      <c r="E437" s="692"/>
      <c r="F437" s="692"/>
      <c r="G437" s="692"/>
      <c r="H437" s="692"/>
      <c r="I437" s="693"/>
      <c r="J437" s="60"/>
    </row>
    <row r="438" spans="2:10" s="434" customFormat="1" ht="24.95" customHeight="1">
      <c r="B438" s="181" t="s">
        <v>57</v>
      </c>
      <c r="C438" s="52" t="s">
        <v>68</v>
      </c>
      <c r="D438" s="58" t="s">
        <v>48</v>
      </c>
      <c r="E438" s="52"/>
      <c r="F438" s="52"/>
      <c r="G438" s="52"/>
      <c r="H438" s="58" t="s">
        <v>58</v>
      </c>
      <c r="I438" s="187" t="s">
        <v>53</v>
      </c>
      <c r="J438" s="60"/>
    </row>
    <row r="439" spans="2:10" s="434" customFormat="1" ht="24.95" customHeight="1">
      <c r="B439" s="119" t="s">
        <v>521</v>
      </c>
      <c r="C439" s="58" t="s">
        <v>87</v>
      </c>
      <c r="D439" s="114">
        <v>7.8E-2</v>
      </c>
      <c r="E439" s="52"/>
      <c r="F439" s="52"/>
      <c r="G439" s="52"/>
      <c r="H439" s="53">
        <f>I708</f>
        <v>358.25</v>
      </c>
      <c r="I439" s="164">
        <f>D439*H439</f>
        <v>27.94</v>
      </c>
      <c r="J439" s="60"/>
    </row>
    <row r="440" spans="2:10" s="434" customFormat="1" ht="24.95" customHeight="1">
      <c r="B440" s="724" t="s">
        <v>55</v>
      </c>
      <c r="C440" s="725"/>
      <c r="D440" s="725"/>
      <c r="E440" s="725"/>
      <c r="F440" s="725"/>
      <c r="G440" s="725"/>
      <c r="H440" s="726"/>
      <c r="I440" s="164">
        <f>SUM(I439:I439)</f>
        <v>27.94</v>
      </c>
      <c r="J440" s="60"/>
    </row>
    <row r="441" spans="2:10" s="434" customFormat="1" ht="24.95" customHeight="1">
      <c r="B441" s="691" t="s">
        <v>61</v>
      </c>
      <c r="C441" s="692"/>
      <c r="D441" s="692"/>
      <c r="E441" s="692"/>
      <c r="F441" s="692"/>
      <c r="G441" s="692"/>
      <c r="H441" s="692"/>
      <c r="I441" s="693"/>
      <c r="J441" s="60"/>
    </row>
    <row r="442" spans="2:10" s="434" customFormat="1" ht="24.95" customHeight="1">
      <c r="B442" s="185" t="s">
        <v>57</v>
      </c>
      <c r="C442" s="58" t="s">
        <v>68</v>
      </c>
      <c r="D442" s="177" t="s">
        <v>48</v>
      </c>
      <c r="E442" s="118"/>
      <c r="F442" s="118"/>
      <c r="G442" s="118"/>
      <c r="H442" s="58" t="s">
        <v>58</v>
      </c>
      <c r="I442" s="187" t="s">
        <v>53</v>
      </c>
      <c r="J442" s="60"/>
    </row>
    <row r="443" spans="2:10" s="434" customFormat="1" ht="30" customHeight="1">
      <c r="B443" s="119" t="s">
        <v>104</v>
      </c>
      <c r="C443" s="58" t="s">
        <v>54</v>
      </c>
      <c r="D443" s="114">
        <v>0.3</v>
      </c>
      <c r="E443" s="118"/>
      <c r="F443" s="118"/>
      <c r="G443" s="118"/>
      <c r="H443" s="53">
        <f>Insumos!D16</f>
        <v>8.69</v>
      </c>
      <c r="I443" s="164">
        <f>D443*H443</f>
        <v>2.61</v>
      </c>
      <c r="J443" s="60"/>
    </row>
    <row r="444" spans="2:10" s="434" customFormat="1" ht="30" customHeight="1">
      <c r="B444" s="119" t="s">
        <v>115</v>
      </c>
      <c r="C444" s="58" t="s">
        <v>54</v>
      </c>
      <c r="D444" s="114">
        <v>0.6</v>
      </c>
      <c r="E444" s="118"/>
      <c r="F444" s="118"/>
      <c r="G444" s="118"/>
      <c r="H444" s="53">
        <f>Insumos!D24</f>
        <v>6.53</v>
      </c>
      <c r="I444" s="164">
        <f>D444*H444</f>
        <v>3.92</v>
      </c>
      <c r="J444" s="60"/>
    </row>
    <row r="445" spans="2:10" s="434" customFormat="1" ht="24.95" customHeight="1">
      <c r="B445" s="689" t="s">
        <v>55</v>
      </c>
      <c r="C445" s="690"/>
      <c r="D445" s="690"/>
      <c r="E445" s="690"/>
      <c r="F445" s="690"/>
      <c r="G445" s="690"/>
      <c r="H445" s="690"/>
      <c r="I445" s="163">
        <f>SUM(I443:I444)</f>
        <v>6.53</v>
      </c>
      <c r="J445" s="60"/>
    </row>
    <row r="446" spans="2:10" s="434" customFormat="1" ht="30" customHeight="1">
      <c r="B446" s="99" t="s">
        <v>62</v>
      </c>
      <c r="C446" s="54">
        <v>1</v>
      </c>
      <c r="D446" s="690" t="s">
        <v>63</v>
      </c>
      <c r="E446" s="690"/>
      <c r="F446" s="690"/>
      <c r="G446" s="690"/>
      <c r="H446" s="690"/>
      <c r="I446" s="163">
        <f>I445+I440+I436+I432</f>
        <v>43.29</v>
      </c>
      <c r="J446" s="60"/>
    </row>
    <row r="447" spans="2:10" s="434" customFormat="1" ht="30" customHeight="1">
      <c r="B447" s="716" t="s">
        <v>77</v>
      </c>
      <c r="C447" s="717"/>
      <c r="D447" s="717"/>
      <c r="E447" s="717"/>
      <c r="F447" s="717"/>
      <c r="G447" s="717"/>
      <c r="H447" s="717"/>
      <c r="I447" s="100">
        <f>I446/C446</f>
        <v>43.29</v>
      </c>
      <c r="J447" s="60"/>
    </row>
    <row r="448" spans="2:10" s="434" customFormat="1" ht="30" customHeight="1">
      <c r="B448" s="101" t="s">
        <v>113</v>
      </c>
      <c r="C448" s="129">
        <v>25</v>
      </c>
      <c r="D448" s="720" t="s">
        <v>5</v>
      </c>
      <c r="E448" s="720"/>
      <c r="F448" s="720"/>
      <c r="G448" s="720"/>
      <c r="H448" s="720"/>
      <c r="I448" s="102">
        <f>C448/100*I447</f>
        <v>10.82</v>
      </c>
      <c r="J448" s="60"/>
    </row>
    <row r="449" spans="2:10" s="434" customFormat="1" ht="30" customHeight="1" thickBot="1">
      <c r="B449" s="702" t="s">
        <v>64</v>
      </c>
      <c r="C449" s="703"/>
      <c r="D449" s="703"/>
      <c r="E449" s="703"/>
      <c r="F449" s="703"/>
      <c r="G449" s="703"/>
      <c r="H449" s="703"/>
      <c r="I449" s="188">
        <f>I448+I447</f>
        <v>54.11</v>
      </c>
      <c r="J449" s="60"/>
    </row>
    <row r="450" spans="2:10" s="434" customFormat="1">
      <c r="B450" s="91"/>
      <c r="C450" s="94"/>
      <c r="D450" s="178"/>
      <c r="E450" s="91"/>
      <c r="F450" s="91"/>
      <c r="G450" s="91"/>
      <c r="H450" s="91"/>
      <c r="I450" s="96"/>
      <c r="J450" s="60"/>
    </row>
    <row r="451" spans="2:10" s="434" customFormat="1">
      <c r="B451" s="91"/>
      <c r="C451" s="94"/>
      <c r="D451" s="178"/>
      <c r="E451" s="91"/>
      <c r="F451" s="91"/>
      <c r="G451" s="91"/>
      <c r="H451" s="91"/>
      <c r="I451" s="96"/>
      <c r="J451" s="60"/>
    </row>
    <row r="452" spans="2:10" s="434" customFormat="1" ht="13.5" thickBot="1">
      <c r="B452" s="91"/>
      <c r="C452" s="94"/>
      <c r="D452" s="178"/>
      <c r="E452" s="91"/>
      <c r="F452" s="91"/>
      <c r="G452" s="91"/>
      <c r="H452" s="91"/>
      <c r="I452" s="96"/>
      <c r="J452" s="60"/>
    </row>
    <row r="453" spans="2:10" s="434" customFormat="1" ht="30" customHeight="1" thickBot="1">
      <c r="B453" s="484" t="s">
        <v>43</v>
      </c>
      <c r="C453" s="485" t="s">
        <v>501</v>
      </c>
      <c r="D453" s="722" t="s">
        <v>45</v>
      </c>
      <c r="E453" s="722"/>
      <c r="F453" s="722"/>
      <c r="G453" s="722"/>
      <c r="H453" s="722"/>
      <c r="I453" s="723"/>
      <c r="J453" s="49"/>
    </row>
    <row r="454" spans="2:10" s="434" customFormat="1" ht="30" customHeight="1">
      <c r="B454" s="712" t="s">
        <v>704</v>
      </c>
      <c r="C454" s="713"/>
      <c r="D454" s="713"/>
      <c r="E454" s="713"/>
      <c r="F454" s="713"/>
      <c r="G454" s="714"/>
      <c r="H454" s="699" t="s">
        <v>705</v>
      </c>
      <c r="I454" s="700"/>
      <c r="J454" s="49"/>
    </row>
    <row r="455" spans="2:10" s="434" customFormat="1" ht="30" customHeight="1">
      <c r="B455" s="706" t="s">
        <v>588</v>
      </c>
      <c r="C455" s="707"/>
      <c r="D455" s="707"/>
      <c r="E455" s="707"/>
      <c r="F455" s="707"/>
      <c r="G455" s="707"/>
      <c r="H455" s="480" t="s">
        <v>66</v>
      </c>
      <c r="I455" s="184" t="s">
        <v>80</v>
      </c>
      <c r="J455" s="49"/>
    </row>
    <row r="456" spans="2:10" s="434" customFormat="1" ht="30" customHeight="1">
      <c r="B456" s="691" t="s">
        <v>46</v>
      </c>
      <c r="C456" s="692"/>
      <c r="D456" s="692"/>
      <c r="E456" s="692"/>
      <c r="F456" s="692"/>
      <c r="G456" s="692"/>
      <c r="H456" s="708"/>
      <c r="I456" s="693"/>
      <c r="J456" s="49"/>
    </row>
    <row r="457" spans="2:10" s="434" customFormat="1" ht="30" customHeight="1">
      <c r="B457" s="185" t="s">
        <v>57</v>
      </c>
      <c r="C457" s="58" t="s">
        <v>68</v>
      </c>
      <c r="D457" s="177" t="s">
        <v>48</v>
      </c>
      <c r="E457" s="177" t="s">
        <v>49</v>
      </c>
      <c r="F457" s="177" t="s">
        <v>50</v>
      </c>
      <c r="G457" s="117" t="s">
        <v>51</v>
      </c>
      <c r="H457" s="117" t="s">
        <v>52</v>
      </c>
      <c r="I457" s="187" t="s">
        <v>53</v>
      </c>
      <c r="J457" s="49"/>
    </row>
    <row r="458" spans="2:10" s="434" customFormat="1" ht="30" customHeight="1">
      <c r="B458" s="231"/>
      <c r="C458" s="58"/>
      <c r="D458" s="114"/>
      <c r="E458" s="114"/>
      <c r="F458" s="114"/>
      <c r="G458" s="55"/>
      <c r="H458" s="53"/>
      <c r="I458" s="164">
        <f>H458*D458</f>
        <v>0</v>
      </c>
      <c r="J458" s="49"/>
    </row>
    <row r="459" spans="2:10">
      <c r="B459" s="724" t="s">
        <v>55</v>
      </c>
      <c r="C459" s="725"/>
      <c r="D459" s="725"/>
      <c r="E459" s="725"/>
      <c r="F459" s="725"/>
      <c r="G459" s="725"/>
      <c r="H459" s="726"/>
      <c r="I459" s="463">
        <f>SUM(I458:I458)</f>
        <v>0</v>
      </c>
      <c r="J459" s="49"/>
    </row>
    <row r="460" spans="2:10" ht="15.75">
      <c r="B460" s="691" t="s">
        <v>56</v>
      </c>
      <c r="C460" s="692"/>
      <c r="D460" s="692"/>
      <c r="E460" s="692"/>
      <c r="F460" s="692"/>
      <c r="G460" s="692"/>
      <c r="H460" s="692"/>
      <c r="I460" s="693"/>
      <c r="J460" s="49"/>
    </row>
    <row r="461" spans="2:10">
      <c r="B461" s="185" t="s">
        <v>57</v>
      </c>
      <c r="C461" s="58" t="s">
        <v>68</v>
      </c>
      <c r="D461" s="177" t="s">
        <v>48</v>
      </c>
      <c r="E461" s="118"/>
      <c r="F461" s="118"/>
      <c r="G461" s="118"/>
      <c r="H461" s="58" t="s">
        <v>58</v>
      </c>
      <c r="I461" s="187" t="s">
        <v>53</v>
      </c>
      <c r="J461" s="49"/>
    </row>
    <row r="462" spans="2:10" ht="30" customHeight="1">
      <c r="B462" s="223" t="s">
        <v>506</v>
      </c>
      <c r="C462" s="258" t="s">
        <v>59</v>
      </c>
      <c r="D462" s="114">
        <v>0.19839999999999999</v>
      </c>
      <c r="E462" s="118"/>
      <c r="F462" s="118"/>
      <c r="G462" s="118"/>
      <c r="H462" s="53">
        <f>Insumos!D101</f>
        <v>52.95</v>
      </c>
      <c r="I462" s="164">
        <f>D462*H462</f>
        <v>10.51</v>
      </c>
      <c r="J462" s="49"/>
    </row>
    <row r="463" spans="2:10" ht="30" customHeight="1">
      <c r="B463" s="223" t="s">
        <v>293</v>
      </c>
      <c r="C463" s="258" t="s">
        <v>74</v>
      </c>
      <c r="D463" s="114">
        <v>5.4000000000000003E-3</v>
      </c>
      <c r="E463" s="118"/>
      <c r="F463" s="118"/>
      <c r="G463" s="118"/>
      <c r="H463" s="53">
        <f>Insumos!D100</f>
        <v>8.5</v>
      </c>
      <c r="I463" s="164">
        <f>D463*H463</f>
        <v>0.05</v>
      </c>
      <c r="J463" s="49"/>
    </row>
    <row r="464" spans="2:10" ht="30" customHeight="1">
      <c r="B464" s="724" t="s">
        <v>55</v>
      </c>
      <c r="C464" s="725"/>
      <c r="D464" s="725"/>
      <c r="E464" s="725"/>
      <c r="F464" s="725"/>
      <c r="G464" s="725"/>
      <c r="H464" s="726"/>
      <c r="I464" s="164">
        <f>SUM(I462:I463)</f>
        <v>10.56</v>
      </c>
      <c r="J464" s="49"/>
    </row>
    <row r="465" spans="2:10" ht="30" customHeight="1">
      <c r="B465" s="691" t="s">
        <v>60</v>
      </c>
      <c r="C465" s="692"/>
      <c r="D465" s="692"/>
      <c r="E465" s="692"/>
      <c r="F465" s="692"/>
      <c r="G465" s="692"/>
      <c r="H465" s="692"/>
      <c r="I465" s="693"/>
      <c r="J465" s="49"/>
    </row>
    <row r="466" spans="2:10" s="434" customFormat="1" ht="30" customHeight="1">
      <c r="B466" s="181" t="s">
        <v>57</v>
      </c>
      <c r="C466" s="52" t="s">
        <v>68</v>
      </c>
      <c r="D466" s="58" t="s">
        <v>48</v>
      </c>
      <c r="E466" s="52"/>
      <c r="F466" s="52"/>
      <c r="G466" s="52"/>
      <c r="H466" s="58" t="s">
        <v>58</v>
      </c>
      <c r="I466" s="187" t="s">
        <v>53</v>
      </c>
      <c r="J466" s="49"/>
    </row>
    <row r="467" spans="2:10" s="434" customFormat="1" ht="30" customHeight="1">
      <c r="B467" s="119"/>
      <c r="C467" s="58"/>
      <c r="D467" s="114"/>
      <c r="E467" s="52"/>
      <c r="F467" s="52"/>
      <c r="G467" s="52"/>
      <c r="H467" s="53"/>
      <c r="I467" s="164">
        <f>D467*H467</f>
        <v>0</v>
      </c>
      <c r="J467" s="49"/>
    </row>
    <row r="468" spans="2:10" s="434" customFormat="1" ht="30" customHeight="1">
      <c r="B468" s="724" t="s">
        <v>55</v>
      </c>
      <c r="C468" s="725"/>
      <c r="D468" s="725"/>
      <c r="E468" s="725"/>
      <c r="F468" s="725"/>
      <c r="G468" s="725"/>
      <c r="H468" s="726"/>
      <c r="I468" s="164">
        <f>SUM(I467:I467)</f>
        <v>0</v>
      </c>
      <c r="J468" s="49"/>
    </row>
    <row r="469" spans="2:10" s="434" customFormat="1" ht="30" customHeight="1">
      <c r="B469" s="691" t="s">
        <v>61</v>
      </c>
      <c r="C469" s="692"/>
      <c r="D469" s="692"/>
      <c r="E469" s="692"/>
      <c r="F469" s="692"/>
      <c r="G469" s="692"/>
      <c r="H469" s="692"/>
      <c r="I469" s="693"/>
      <c r="J469" s="49"/>
    </row>
    <row r="470" spans="2:10" s="434" customFormat="1" ht="30" customHeight="1">
      <c r="B470" s="185" t="s">
        <v>57</v>
      </c>
      <c r="C470" s="58" t="s">
        <v>68</v>
      </c>
      <c r="D470" s="177" t="s">
        <v>48</v>
      </c>
      <c r="E470" s="118"/>
      <c r="F470" s="118"/>
      <c r="G470" s="118"/>
      <c r="H470" s="58" t="s">
        <v>58</v>
      </c>
      <c r="I470" s="187" t="s">
        <v>53</v>
      </c>
      <c r="J470" s="49"/>
    </row>
    <row r="471" spans="2:10" s="434" customFormat="1" ht="30" customHeight="1">
      <c r="B471" s="534" t="s">
        <v>104</v>
      </c>
      <c r="C471" s="497" t="s">
        <v>54</v>
      </c>
      <c r="D471" s="375">
        <v>0.33</v>
      </c>
      <c r="E471" s="452"/>
      <c r="F471" s="452"/>
      <c r="G471" s="452"/>
      <c r="H471" s="450">
        <f>Insumos!D19</f>
        <v>8.69</v>
      </c>
      <c r="I471" s="164">
        <f>D471*H471</f>
        <v>2.87</v>
      </c>
      <c r="J471" s="49"/>
    </row>
    <row r="472" spans="2:10" s="434" customFormat="1" ht="30" customHeight="1">
      <c r="B472" s="689" t="s">
        <v>55</v>
      </c>
      <c r="C472" s="690"/>
      <c r="D472" s="690"/>
      <c r="E472" s="690"/>
      <c r="F472" s="690"/>
      <c r="G472" s="690"/>
      <c r="H472" s="690"/>
      <c r="I472" s="163">
        <f>SUM(I471:I471)</f>
        <v>2.87</v>
      </c>
      <c r="J472" s="49"/>
    </row>
    <row r="473" spans="2:10" s="434" customFormat="1" ht="30" customHeight="1">
      <c r="B473" s="99" t="s">
        <v>62</v>
      </c>
      <c r="C473" s="54">
        <v>1</v>
      </c>
      <c r="D473" s="690" t="s">
        <v>63</v>
      </c>
      <c r="E473" s="690"/>
      <c r="F473" s="690"/>
      <c r="G473" s="690"/>
      <c r="H473" s="690"/>
      <c r="I473" s="163">
        <f>I472+I468+I464+I459</f>
        <v>13.43</v>
      </c>
      <c r="J473" s="49"/>
    </row>
    <row r="474" spans="2:10" s="434" customFormat="1" ht="30" customHeight="1">
      <c r="B474" s="716" t="s">
        <v>77</v>
      </c>
      <c r="C474" s="717"/>
      <c r="D474" s="717"/>
      <c r="E474" s="717"/>
      <c r="F474" s="717"/>
      <c r="G474" s="717"/>
      <c r="H474" s="717"/>
      <c r="I474" s="100">
        <f>I473/C473</f>
        <v>13.43</v>
      </c>
      <c r="J474" s="49"/>
    </row>
    <row r="475" spans="2:10" s="434" customFormat="1" ht="30" customHeight="1">
      <c r="B475" s="101" t="s">
        <v>113</v>
      </c>
      <c r="C475" s="129">
        <v>25</v>
      </c>
      <c r="D475" s="720" t="s">
        <v>5</v>
      </c>
      <c r="E475" s="720"/>
      <c r="F475" s="720"/>
      <c r="G475" s="720"/>
      <c r="H475" s="720"/>
      <c r="I475" s="102">
        <f>C475/100*I474</f>
        <v>3.36</v>
      </c>
      <c r="J475" s="49"/>
    </row>
    <row r="476" spans="2:10" s="434" customFormat="1" ht="30" customHeight="1" thickBot="1">
      <c r="B476" s="702" t="s">
        <v>64</v>
      </c>
      <c r="C476" s="703"/>
      <c r="D476" s="703"/>
      <c r="E476" s="703"/>
      <c r="F476" s="703"/>
      <c r="G476" s="703"/>
      <c r="H476" s="703"/>
      <c r="I476" s="188">
        <f>I475+I474</f>
        <v>16.79</v>
      </c>
      <c r="J476" s="49"/>
    </row>
    <row r="477" spans="2:10" s="434" customFormat="1">
      <c r="B477" s="91"/>
      <c r="C477" s="94"/>
      <c r="D477" s="178"/>
      <c r="E477" s="91"/>
      <c r="F477" s="91"/>
      <c r="G477" s="91"/>
      <c r="H477" s="91"/>
      <c r="I477" s="96"/>
      <c r="J477" s="49"/>
    </row>
    <row r="478" spans="2:10" s="434" customFormat="1">
      <c r="B478" s="91"/>
      <c r="C478" s="94"/>
      <c r="D478" s="178"/>
      <c r="E478" s="91"/>
      <c r="F478" s="91"/>
      <c r="G478" s="91"/>
      <c r="H478" s="91"/>
      <c r="I478" s="96"/>
      <c r="J478" s="49"/>
    </row>
    <row r="479" spans="2:10" s="434" customFormat="1" ht="16.5" thickBot="1">
      <c r="B479" s="48"/>
      <c r="C479" s="48"/>
      <c r="D479" s="48"/>
      <c r="E479" s="48"/>
      <c r="F479" s="48"/>
      <c r="G479" s="48"/>
      <c r="H479" s="48"/>
      <c r="I479" s="214"/>
      <c r="J479" s="49"/>
    </row>
    <row r="480" spans="2:10" s="434" customFormat="1" ht="30" customHeight="1" thickBot="1">
      <c r="B480" s="484" t="s">
        <v>43</v>
      </c>
      <c r="C480" s="484" t="s">
        <v>435</v>
      </c>
      <c r="D480" s="722" t="s">
        <v>45</v>
      </c>
      <c r="E480" s="722"/>
      <c r="F480" s="722"/>
      <c r="G480" s="722"/>
      <c r="H480" s="722"/>
      <c r="I480" s="723"/>
      <c r="J480" s="49"/>
    </row>
    <row r="481" spans="2:12" s="434" customFormat="1" ht="30" customHeight="1">
      <c r="B481" s="712" t="s">
        <v>704</v>
      </c>
      <c r="C481" s="713"/>
      <c r="D481" s="713"/>
      <c r="E481" s="713"/>
      <c r="F481" s="713"/>
      <c r="G481" s="714"/>
      <c r="H481" s="699" t="s">
        <v>705</v>
      </c>
      <c r="I481" s="700"/>
      <c r="J481" s="49"/>
    </row>
    <row r="482" spans="2:12" s="434" customFormat="1" ht="30" customHeight="1">
      <c r="B482" s="706" t="s">
        <v>522</v>
      </c>
      <c r="C482" s="707"/>
      <c r="D482" s="707"/>
      <c r="E482" s="707"/>
      <c r="F482" s="707"/>
      <c r="G482" s="707"/>
      <c r="H482" s="480" t="s">
        <v>66</v>
      </c>
      <c r="I482" s="184" t="s">
        <v>87</v>
      </c>
      <c r="J482" s="49"/>
      <c r="L482" s="434" t="s">
        <v>585</v>
      </c>
    </row>
    <row r="483" spans="2:12" s="434" customFormat="1" ht="30" customHeight="1">
      <c r="B483" s="691" t="s">
        <v>46</v>
      </c>
      <c r="C483" s="692"/>
      <c r="D483" s="692"/>
      <c r="E483" s="692"/>
      <c r="F483" s="692"/>
      <c r="G483" s="692"/>
      <c r="H483" s="708"/>
      <c r="I483" s="693"/>
      <c r="J483" s="49"/>
    </row>
    <row r="484" spans="2:12" s="434" customFormat="1" ht="30" customHeight="1">
      <c r="B484" s="185" t="s">
        <v>57</v>
      </c>
      <c r="C484" s="120" t="s">
        <v>68</v>
      </c>
      <c r="D484" s="116" t="s">
        <v>48</v>
      </c>
      <c r="E484" s="116" t="s">
        <v>49</v>
      </c>
      <c r="F484" s="116" t="s">
        <v>50</v>
      </c>
      <c r="G484" s="117" t="s">
        <v>51</v>
      </c>
      <c r="H484" s="117" t="s">
        <v>52</v>
      </c>
      <c r="I484" s="186" t="s">
        <v>53</v>
      </c>
      <c r="J484" s="49"/>
    </row>
    <row r="485" spans="2:12" s="434" customFormat="1" ht="30" customHeight="1">
      <c r="B485" s="189" t="s">
        <v>299</v>
      </c>
      <c r="C485" s="58" t="s">
        <v>54</v>
      </c>
      <c r="D485" s="114">
        <v>0.65</v>
      </c>
      <c r="E485" s="114"/>
      <c r="F485" s="114"/>
      <c r="G485" s="55"/>
      <c r="H485" s="53">
        <f>bet</f>
        <v>3.27</v>
      </c>
      <c r="I485" s="164">
        <f>H485*D485</f>
        <v>2.13</v>
      </c>
      <c r="J485" s="49"/>
    </row>
    <row r="486" spans="2:12" ht="23.25" customHeight="1">
      <c r="B486" s="724" t="s">
        <v>55</v>
      </c>
      <c r="C486" s="725"/>
      <c r="D486" s="725"/>
      <c r="E486" s="725"/>
      <c r="F486" s="725"/>
      <c r="G486" s="725"/>
      <c r="H486" s="726"/>
      <c r="I486" s="463">
        <f>SUM(I485:I485)</f>
        <v>2.13</v>
      </c>
      <c r="J486" s="49"/>
    </row>
    <row r="487" spans="2:12" ht="15.75">
      <c r="B487" s="691" t="s">
        <v>56</v>
      </c>
      <c r="C487" s="692"/>
      <c r="D487" s="692"/>
      <c r="E487" s="692"/>
      <c r="F487" s="692"/>
      <c r="G487" s="692"/>
      <c r="H487" s="692"/>
      <c r="I487" s="693"/>
      <c r="J487" s="49"/>
    </row>
    <row r="488" spans="2:12">
      <c r="B488" s="185" t="s">
        <v>57</v>
      </c>
      <c r="C488" s="58" t="s">
        <v>68</v>
      </c>
      <c r="D488" s="177" t="s">
        <v>48</v>
      </c>
      <c r="E488" s="118"/>
      <c r="F488" s="118"/>
      <c r="G488" s="118"/>
      <c r="H488" s="58" t="s">
        <v>58</v>
      </c>
      <c r="I488" s="187" t="s">
        <v>53</v>
      </c>
      <c r="J488" s="49"/>
    </row>
    <row r="489" spans="2:12" ht="30" customHeight="1">
      <c r="B489" s="119" t="s">
        <v>291</v>
      </c>
      <c r="C489" s="58" t="s">
        <v>74</v>
      </c>
      <c r="D489" s="114">
        <v>340</v>
      </c>
      <c r="E489" s="118"/>
      <c r="F489" s="118"/>
      <c r="G489" s="118"/>
      <c r="H489" s="53">
        <f>Insumos!D38</f>
        <v>0.5</v>
      </c>
      <c r="I489" s="164">
        <f t="shared" ref="I489:I496" si="7">D489*H489</f>
        <v>170</v>
      </c>
      <c r="J489" s="49"/>
    </row>
    <row r="490" spans="2:12" ht="30" customHeight="1">
      <c r="B490" s="119" t="s">
        <v>295</v>
      </c>
      <c r="C490" s="58" t="s">
        <v>74</v>
      </c>
      <c r="D490" s="114">
        <v>3.6</v>
      </c>
      <c r="E490" s="118"/>
      <c r="F490" s="118"/>
      <c r="G490" s="118"/>
      <c r="H490" s="53">
        <f>Insumos!D127</f>
        <v>3.49</v>
      </c>
      <c r="I490" s="164">
        <f t="shared" si="7"/>
        <v>12.56</v>
      </c>
      <c r="J490" s="49"/>
    </row>
    <row r="491" spans="2:12" ht="30" customHeight="1">
      <c r="B491" s="119" t="s">
        <v>439</v>
      </c>
      <c r="C491" s="58" t="s">
        <v>74</v>
      </c>
      <c r="D491" s="114">
        <v>4</v>
      </c>
      <c r="E491" s="118"/>
      <c r="F491" s="118"/>
      <c r="G491" s="118"/>
      <c r="H491" s="53">
        <f>Insumos!D128</f>
        <v>3.26</v>
      </c>
      <c r="I491" s="164">
        <f t="shared" si="7"/>
        <v>13.04</v>
      </c>
      <c r="J491" s="49"/>
    </row>
    <row r="492" spans="2:12" ht="30" customHeight="1">
      <c r="B492" s="119" t="s">
        <v>175</v>
      </c>
      <c r="C492" s="58" t="s">
        <v>87</v>
      </c>
      <c r="D492" s="114">
        <v>0.54</v>
      </c>
      <c r="E492" s="118"/>
      <c r="F492" s="118"/>
      <c r="G492" s="118"/>
      <c r="H492" s="53">
        <f>Insumos!D43</f>
        <v>70</v>
      </c>
      <c r="I492" s="164">
        <f t="shared" si="7"/>
        <v>37.799999999999997</v>
      </c>
      <c r="J492" s="49"/>
      <c r="K492" s="329"/>
    </row>
    <row r="493" spans="2:12" s="434" customFormat="1" ht="30" customHeight="1">
      <c r="B493" s="119" t="s">
        <v>438</v>
      </c>
      <c r="C493" s="58" t="s">
        <v>59</v>
      </c>
      <c r="D493" s="114">
        <v>1.1405000000000001</v>
      </c>
      <c r="E493" s="118"/>
      <c r="F493" s="118"/>
      <c r="G493" s="118"/>
      <c r="H493" s="53">
        <f>Insumos!D86</f>
        <v>32.86</v>
      </c>
      <c r="I493" s="164">
        <f t="shared" si="7"/>
        <v>37.479999999999997</v>
      </c>
      <c r="J493" s="49"/>
    </row>
    <row r="494" spans="2:12" s="434" customFormat="1" ht="30" customHeight="1">
      <c r="B494" s="119" t="s">
        <v>437</v>
      </c>
      <c r="C494" s="58" t="s">
        <v>92</v>
      </c>
      <c r="D494" s="114">
        <v>1.2</v>
      </c>
      <c r="E494" s="118"/>
      <c r="F494" s="118"/>
      <c r="G494" s="118"/>
      <c r="H494" s="53">
        <f>Insumos!D99</f>
        <v>9.2100000000000009</v>
      </c>
      <c r="I494" s="164">
        <f t="shared" si="7"/>
        <v>11.05</v>
      </c>
      <c r="J494" s="49"/>
    </row>
    <row r="495" spans="2:12" s="434" customFormat="1" ht="30" customHeight="1">
      <c r="B495" s="119" t="s">
        <v>290</v>
      </c>
      <c r="C495" s="58" t="s">
        <v>74</v>
      </c>
      <c r="D495" s="114">
        <v>2.52</v>
      </c>
      <c r="E495" s="118"/>
      <c r="F495" s="118"/>
      <c r="G495" s="118"/>
      <c r="H495" s="53">
        <f>Insumos!D55</f>
        <v>7</v>
      </c>
      <c r="I495" s="164">
        <f t="shared" si="7"/>
        <v>17.64</v>
      </c>
      <c r="J495" s="49"/>
    </row>
    <row r="496" spans="2:12" s="434" customFormat="1" ht="30" customHeight="1">
      <c r="B496" s="119" t="s">
        <v>436</v>
      </c>
      <c r="C496" s="58" t="s">
        <v>87</v>
      </c>
      <c r="D496" s="114">
        <v>0.81</v>
      </c>
      <c r="E496" s="118"/>
      <c r="F496" s="118"/>
      <c r="G496" s="118"/>
      <c r="H496" s="53">
        <f>Insumos!D60</f>
        <v>65.8</v>
      </c>
      <c r="I496" s="164">
        <f t="shared" si="7"/>
        <v>53.3</v>
      </c>
      <c r="J496" s="49"/>
    </row>
    <row r="497" spans="2:10" s="434" customFormat="1" ht="30" customHeight="1">
      <c r="B497" s="119" t="s">
        <v>440</v>
      </c>
      <c r="C497" s="58" t="s">
        <v>87</v>
      </c>
      <c r="D497" s="114">
        <v>0.02</v>
      </c>
      <c r="E497" s="118"/>
      <c r="F497" s="118"/>
      <c r="G497" s="118"/>
      <c r="H497" s="53">
        <f>Insumos!D103</f>
        <v>637.95000000000005</v>
      </c>
      <c r="I497" s="164">
        <f>D497*H497</f>
        <v>12.76</v>
      </c>
      <c r="J497" s="49"/>
    </row>
    <row r="498" spans="2:10" s="434" customFormat="1" ht="30" customHeight="1">
      <c r="B498" s="724" t="s">
        <v>55</v>
      </c>
      <c r="C498" s="725"/>
      <c r="D498" s="725"/>
      <c r="E498" s="725"/>
      <c r="F498" s="725"/>
      <c r="G498" s="725"/>
      <c r="H498" s="726"/>
      <c r="I498" s="164">
        <f>SUM(I489:I497)</f>
        <v>365.63</v>
      </c>
      <c r="J498" s="49"/>
    </row>
    <row r="499" spans="2:10" s="434" customFormat="1" ht="30" customHeight="1">
      <c r="B499" s="691" t="s">
        <v>60</v>
      </c>
      <c r="C499" s="692"/>
      <c r="D499" s="692"/>
      <c r="E499" s="692"/>
      <c r="F499" s="692"/>
      <c r="G499" s="692"/>
      <c r="H499" s="692"/>
      <c r="I499" s="693"/>
      <c r="J499" s="49"/>
    </row>
    <row r="500" spans="2:10" s="434" customFormat="1" ht="30" customHeight="1">
      <c r="B500" s="181" t="s">
        <v>57</v>
      </c>
      <c r="C500" s="52" t="s">
        <v>68</v>
      </c>
      <c r="D500" s="58" t="s">
        <v>48</v>
      </c>
      <c r="E500" s="52"/>
      <c r="F500" s="52"/>
      <c r="G500" s="52"/>
      <c r="H500" s="58" t="s">
        <v>58</v>
      </c>
      <c r="I500" s="187" t="s">
        <v>53</v>
      </c>
      <c r="J500" s="49"/>
    </row>
    <row r="501" spans="2:10" s="434" customFormat="1" ht="30" customHeight="1">
      <c r="B501" s="119"/>
      <c r="C501" s="58"/>
      <c r="D501" s="114"/>
      <c r="E501" s="52"/>
      <c r="F501" s="52"/>
      <c r="G501" s="52"/>
      <c r="H501" s="53"/>
      <c r="I501" s="164">
        <f>D501*H501</f>
        <v>0</v>
      </c>
      <c r="J501" s="49"/>
    </row>
    <row r="502" spans="2:10" s="434" customFormat="1" ht="30" customHeight="1">
      <c r="B502" s="724" t="s">
        <v>55</v>
      </c>
      <c r="C502" s="725"/>
      <c r="D502" s="725"/>
      <c r="E502" s="725"/>
      <c r="F502" s="725"/>
      <c r="G502" s="725"/>
      <c r="H502" s="726"/>
      <c r="I502" s="164">
        <f>SUM(I501:I501)</f>
        <v>0</v>
      </c>
      <c r="J502" s="49"/>
    </row>
    <row r="503" spans="2:10" s="434" customFormat="1" ht="30" customHeight="1">
      <c r="B503" s="691" t="s">
        <v>61</v>
      </c>
      <c r="C503" s="692"/>
      <c r="D503" s="692"/>
      <c r="E503" s="692"/>
      <c r="F503" s="692"/>
      <c r="G503" s="692"/>
      <c r="H503" s="692"/>
      <c r="I503" s="693"/>
      <c r="J503" s="49"/>
    </row>
    <row r="504" spans="2:10" s="434" customFormat="1" ht="30" customHeight="1">
      <c r="B504" s="185" t="s">
        <v>57</v>
      </c>
      <c r="C504" s="58" t="s">
        <v>68</v>
      </c>
      <c r="D504" s="177" t="s">
        <v>48</v>
      </c>
      <c r="E504" s="118"/>
      <c r="F504" s="118"/>
      <c r="G504" s="118"/>
      <c r="H504" s="58" t="s">
        <v>58</v>
      </c>
      <c r="I504" s="187" t="s">
        <v>53</v>
      </c>
      <c r="J504" s="49"/>
    </row>
    <row r="505" spans="2:10" s="434" customFormat="1" ht="30" customHeight="1">
      <c r="B505" s="119" t="s">
        <v>75</v>
      </c>
      <c r="C505" s="58" t="s">
        <v>54</v>
      </c>
      <c r="D505" s="114">
        <v>2</v>
      </c>
      <c r="E505" s="118"/>
      <c r="F505" s="118"/>
      <c r="G505" s="118"/>
      <c r="H505" s="53">
        <f>Insumos!D20</f>
        <v>8.69</v>
      </c>
      <c r="I505" s="164">
        <f>D505*H505</f>
        <v>17.38</v>
      </c>
      <c r="J505" s="49"/>
    </row>
    <row r="506" spans="2:10" s="434" customFormat="1" ht="30" customHeight="1">
      <c r="B506" s="119" t="s">
        <v>388</v>
      </c>
      <c r="C506" s="58" t="s">
        <v>54</v>
      </c>
      <c r="D506" s="114">
        <v>2</v>
      </c>
      <c r="E506" s="118"/>
      <c r="F506" s="118"/>
      <c r="G506" s="118"/>
      <c r="H506" s="53">
        <f>Insumos!D29</f>
        <v>7.08</v>
      </c>
      <c r="I506" s="164">
        <f>D506*H506</f>
        <v>14.16</v>
      </c>
      <c r="J506" s="49"/>
    </row>
    <row r="507" spans="2:10" s="434" customFormat="1" ht="30" customHeight="1">
      <c r="B507" s="119" t="s">
        <v>104</v>
      </c>
      <c r="C507" s="58" t="s">
        <v>54</v>
      </c>
      <c r="D507" s="114">
        <v>1.64</v>
      </c>
      <c r="E507" s="118"/>
      <c r="F507" s="118"/>
      <c r="G507" s="118"/>
      <c r="H507" s="53">
        <f>Insumos!D16</f>
        <v>8.69</v>
      </c>
      <c r="I507" s="164">
        <f>D507*H507</f>
        <v>14.25</v>
      </c>
      <c r="J507" s="49"/>
    </row>
    <row r="508" spans="2:10" s="434" customFormat="1" ht="30" customHeight="1">
      <c r="B508" s="119" t="s">
        <v>76</v>
      </c>
      <c r="C508" s="58" t="s">
        <v>54</v>
      </c>
      <c r="D508" s="114">
        <v>6</v>
      </c>
      <c r="E508" s="118"/>
      <c r="F508" s="118"/>
      <c r="G508" s="118"/>
      <c r="H508" s="53">
        <f>Insumos!D24</f>
        <v>6.53</v>
      </c>
      <c r="I508" s="164">
        <f>D508*H508</f>
        <v>39.18</v>
      </c>
      <c r="J508" s="49"/>
    </row>
    <row r="509" spans="2:10" s="434" customFormat="1" ht="30" customHeight="1">
      <c r="B509" s="689" t="s">
        <v>55</v>
      </c>
      <c r="C509" s="690"/>
      <c r="D509" s="690"/>
      <c r="E509" s="690"/>
      <c r="F509" s="690"/>
      <c r="G509" s="690"/>
      <c r="H509" s="690"/>
      <c r="I509" s="163">
        <f>SUM(I505:I508)</f>
        <v>84.97</v>
      </c>
      <c r="J509" s="49"/>
    </row>
    <row r="510" spans="2:10" s="434" customFormat="1" ht="30" customHeight="1">
      <c r="B510" s="99" t="s">
        <v>62</v>
      </c>
      <c r="C510" s="54">
        <v>1</v>
      </c>
      <c r="D510" s="690" t="s">
        <v>63</v>
      </c>
      <c r="E510" s="690"/>
      <c r="F510" s="690"/>
      <c r="G510" s="690"/>
      <c r="H510" s="690"/>
      <c r="I510" s="163">
        <f>I509+I502+I498+I486</f>
        <v>452.73</v>
      </c>
      <c r="J510" s="49"/>
    </row>
    <row r="511" spans="2:10" s="434" customFormat="1" ht="30" customHeight="1">
      <c r="B511" s="716" t="s">
        <v>77</v>
      </c>
      <c r="C511" s="717"/>
      <c r="D511" s="717"/>
      <c r="E511" s="717"/>
      <c r="F511" s="717"/>
      <c r="G511" s="717"/>
      <c r="H511" s="717"/>
      <c r="I511" s="100">
        <f>I510/C510</f>
        <v>452.73</v>
      </c>
      <c r="J511" s="49"/>
    </row>
    <row r="512" spans="2:10" s="434" customFormat="1" ht="30" customHeight="1">
      <c r="B512" s="101" t="s">
        <v>113</v>
      </c>
      <c r="C512" s="129">
        <v>25</v>
      </c>
      <c r="D512" s="720" t="s">
        <v>5</v>
      </c>
      <c r="E512" s="720"/>
      <c r="F512" s="720"/>
      <c r="G512" s="720"/>
      <c r="H512" s="720"/>
      <c r="I512" s="102">
        <f>C512/100*I511</f>
        <v>113.18</v>
      </c>
      <c r="J512" s="49"/>
    </row>
    <row r="513" spans="2:11" ht="16.5" thickBot="1">
      <c r="B513" s="702" t="s">
        <v>64</v>
      </c>
      <c r="C513" s="703"/>
      <c r="D513" s="703"/>
      <c r="E513" s="703"/>
      <c r="F513" s="703"/>
      <c r="G513" s="703"/>
      <c r="H513" s="703"/>
      <c r="I513" s="188">
        <f>I512+I511</f>
        <v>565.91</v>
      </c>
    </row>
    <row r="514" spans="2:11" ht="15.75">
      <c r="B514" s="48"/>
      <c r="C514" s="48"/>
      <c r="D514" s="48"/>
      <c r="E514" s="48"/>
      <c r="F514" s="48"/>
      <c r="G514" s="48"/>
      <c r="H514" s="48"/>
      <c r="I514" s="214"/>
    </row>
    <row r="515" spans="2:11" ht="15.75">
      <c r="B515" s="48"/>
      <c r="C515" s="48"/>
      <c r="D515" s="48"/>
      <c r="E515" s="48"/>
      <c r="F515" s="48"/>
      <c r="G515" s="48"/>
      <c r="H515" s="48"/>
      <c r="I515" s="214"/>
    </row>
    <row r="516" spans="2:11" ht="16.5" thickBot="1">
      <c r="B516" s="48"/>
      <c r="C516" s="48"/>
      <c r="D516" s="48"/>
      <c r="E516" s="48"/>
      <c r="F516" s="48"/>
      <c r="G516" s="48"/>
      <c r="H516" s="48"/>
      <c r="I516" s="214"/>
    </row>
    <row r="517" spans="2:11" ht="30" customHeight="1" thickBot="1">
      <c r="B517" s="484" t="s">
        <v>43</v>
      </c>
      <c r="C517" s="484" t="s">
        <v>371</v>
      </c>
      <c r="D517" s="709" t="s">
        <v>45</v>
      </c>
      <c r="E517" s="710"/>
      <c r="F517" s="710"/>
      <c r="G517" s="710"/>
      <c r="H517" s="710"/>
      <c r="I517" s="711"/>
      <c r="J517" s="169"/>
    </row>
    <row r="518" spans="2:11" ht="30" customHeight="1">
      <c r="B518" s="712" t="s">
        <v>704</v>
      </c>
      <c r="C518" s="713"/>
      <c r="D518" s="713"/>
      <c r="E518" s="713"/>
      <c r="F518" s="713"/>
      <c r="G518" s="714"/>
      <c r="H518" s="701" t="s">
        <v>705</v>
      </c>
      <c r="I518" s="700"/>
      <c r="J518" s="171"/>
    </row>
    <row r="519" spans="2:11" ht="30" customHeight="1">
      <c r="B519" s="706" t="s">
        <v>505</v>
      </c>
      <c r="C519" s="707"/>
      <c r="D519" s="707"/>
      <c r="E519" s="707"/>
      <c r="F519" s="707"/>
      <c r="G519" s="715"/>
      <c r="H519" s="57" t="s">
        <v>66</v>
      </c>
      <c r="I519" s="184" t="s">
        <v>80</v>
      </c>
      <c r="J519" s="136"/>
    </row>
    <row r="520" spans="2:11" s="434" customFormat="1" ht="30" customHeight="1">
      <c r="B520" s="691" t="s">
        <v>46</v>
      </c>
      <c r="C520" s="692"/>
      <c r="D520" s="692"/>
      <c r="E520" s="692"/>
      <c r="F520" s="692"/>
      <c r="G520" s="692"/>
      <c r="H520" s="692"/>
      <c r="I520" s="693"/>
      <c r="J520" s="135"/>
    </row>
    <row r="521" spans="2:11" s="434" customFormat="1" ht="30" customHeight="1">
      <c r="B521" s="185" t="s">
        <v>57</v>
      </c>
      <c r="C521" s="115" t="s">
        <v>68</v>
      </c>
      <c r="D521" s="116" t="s">
        <v>48</v>
      </c>
      <c r="E521" s="116" t="s">
        <v>49</v>
      </c>
      <c r="F521" s="116" t="s">
        <v>50</v>
      </c>
      <c r="G521" s="117" t="s">
        <v>51</v>
      </c>
      <c r="H521" s="117" t="s">
        <v>52</v>
      </c>
      <c r="I521" s="186" t="s">
        <v>53</v>
      </c>
      <c r="J521" s="137"/>
    </row>
    <row r="522" spans="2:11" s="434" customFormat="1" ht="30" customHeight="1">
      <c r="B522" s="119"/>
      <c r="C522" s="179"/>
      <c r="D522" s="180"/>
      <c r="E522" s="114"/>
      <c r="F522" s="114"/>
      <c r="G522" s="55"/>
      <c r="H522" s="55"/>
      <c r="I522" s="100">
        <f>D522*H522</f>
        <v>0</v>
      </c>
      <c r="J522" s="138"/>
    </row>
    <row r="523" spans="2:11" s="434" customFormat="1" ht="30" customHeight="1">
      <c r="B523" s="704"/>
      <c r="C523" s="705"/>
      <c r="D523" s="705"/>
      <c r="E523" s="705"/>
      <c r="F523" s="705"/>
      <c r="G523" s="705"/>
      <c r="H523" s="705"/>
      <c r="I523" s="163">
        <f>SUM(I522:I522)</f>
        <v>0</v>
      </c>
      <c r="J523" s="138"/>
    </row>
    <row r="524" spans="2:11" s="434" customFormat="1" ht="30" customHeight="1">
      <c r="B524" s="691" t="s">
        <v>56</v>
      </c>
      <c r="C524" s="692"/>
      <c r="D524" s="692"/>
      <c r="E524" s="692"/>
      <c r="F524" s="692"/>
      <c r="G524" s="692"/>
      <c r="H524" s="692"/>
      <c r="I524" s="693"/>
      <c r="J524" s="135"/>
    </row>
    <row r="525" spans="2:11" s="434" customFormat="1" ht="30" customHeight="1">
      <c r="B525" s="447" t="s">
        <v>57</v>
      </c>
      <c r="C525" s="53" t="s">
        <v>68</v>
      </c>
      <c r="D525" s="177" t="s">
        <v>48</v>
      </c>
      <c r="E525" s="118"/>
      <c r="F525" s="118"/>
      <c r="G525" s="118"/>
      <c r="H525" s="58" t="s">
        <v>58</v>
      </c>
      <c r="I525" s="187" t="s">
        <v>53</v>
      </c>
      <c r="J525" s="136"/>
    </row>
    <row r="526" spans="2:11" s="434" customFormat="1" ht="30" customHeight="1">
      <c r="B526" s="520" t="s">
        <v>188</v>
      </c>
      <c r="C526" s="337" t="s">
        <v>59</v>
      </c>
      <c r="D526" s="390">
        <v>16</v>
      </c>
      <c r="E526" s="118"/>
      <c r="F526" s="118"/>
      <c r="G526" s="118"/>
      <c r="H526" s="53">
        <f>Insumos!D45</f>
        <v>0.54</v>
      </c>
      <c r="I526" s="100">
        <f>D526*H526</f>
        <v>8.64</v>
      </c>
      <c r="J526" s="136"/>
      <c r="K526" s="448"/>
    </row>
    <row r="527" spans="2:11" s="434" customFormat="1" ht="30" customHeight="1">
      <c r="B527" s="689" t="s">
        <v>55</v>
      </c>
      <c r="C527" s="690"/>
      <c r="D527" s="690"/>
      <c r="E527" s="690"/>
      <c r="F527" s="690"/>
      <c r="G527" s="690"/>
      <c r="H527" s="690"/>
      <c r="I527" s="100">
        <f>SUM(I526:I526)</f>
        <v>8.64</v>
      </c>
      <c r="J527" s="140"/>
    </row>
    <row r="528" spans="2:11" s="434" customFormat="1" ht="30" customHeight="1">
      <c r="B528" s="691" t="s">
        <v>60</v>
      </c>
      <c r="C528" s="692"/>
      <c r="D528" s="692"/>
      <c r="E528" s="692"/>
      <c r="F528" s="692"/>
      <c r="G528" s="692"/>
      <c r="H528" s="692"/>
      <c r="I528" s="693"/>
      <c r="J528" s="140"/>
    </row>
    <row r="529" spans="2:12" s="434" customFormat="1" ht="30" customHeight="1">
      <c r="B529" s="182" t="s">
        <v>57</v>
      </c>
      <c r="C529" s="53" t="s">
        <v>68</v>
      </c>
      <c r="D529" s="58" t="s">
        <v>48</v>
      </c>
      <c r="E529" s="52"/>
      <c r="F529" s="52"/>
      <c r="G529" s="52"/>
      <c r="H529" s="58" t="s">
        <v>58</v>
      </c>
      <c r="I529" s="187" t="s">
        <v>53</v>
      </c>
      <c r="J529" s="135"/>
    </row>
    <row r="530" spans="2:12" s="434" customFormat="1" ht="30" customHeight="1">
      <c r="B530" s="520" t="s">
        <v>372</v>
      </c>
      <c r="C530" s="337" t="s">
        <v>87</v>
      </c>
      <c r="D530" s="390">
        <v>1.2E-2</v>
      </c>
      <c r="E530" s="52"/>
      <c r="F530" s="52"/>
      <c r="G530" s="52"/>
      <c r="H530" s="53">
        <f>I564</f>
        <v>222.24</v>
      </c>
      <c r="I530" s="100">
        <f>D530*H530</f>
        <v>2.67</v>
      </c>
      <c r="J530" s="136"/>
    </row>
    <row r="531" spans="2:12" s="434" customFormat="1" ht="30" customHeight="1">
      <c r="B531" s="689" t="s">
        <v>55</v>
      </c>
      <c r="C531" s="690"/>
      <c r="D531" s="690"/>
      <c r="E531" s="690"/>
      <c r="F531" s="690"/>
      <c r="G531" s="690"/>
      <c r="H531" s="690"/>
      <c r="I531" s="100">
        <f>SUM(I530:I530)</f>
        <v>2.67</v>
      </c>
      <c r="J531" s="140"/>
    </row>
    <row r="532" spans="2:12" s="434" customFormat="1" ht="30" customHeight="1">
      <c r="B532" s="691" t="s">
        <v>61</v>
      </c>
      <c r="C532" s="692"/>
      <c r="D532" s="692"/>
      <c r="E532" s="692"/>
      <c r="F532" s="692"/>
      <c r="G532" s="692"/>
      <c r="H532" s="692"/>
      <c r="I532" s="693"/>
      <c r="J532" s="140"/>
    </row>
    <row r="533" spans="2:12" s="434" customFormat="1" ht="30" customHeight="1">
      <c r="B533" s="447" t="s">
        <v>57</v>
      </c>
      <c r="C533" s="53" t="s">
        <v>68</v>
      </c>
      <c r="D533" s="177" t="s">
        <v>48</v>
      </c>
      <c r="E533" s="118"/>
      <c r="F533" s="118"/>
      <c r="G533" s="118"/>
      <c r="H533" s="58" t="s">
        <v>58</v>
      </c>
      <c r="I533" s="187" t="s">
        <v>53</v>
      </c>
      <c r="J533" s="135"/>
    </row>
    <row r="534" spans="2:12" s="434" customFormat="1" ht="30" customHeight="1">
      <c r="B534" s="533" t="s">
        <v>104</v>
      </c>
      <c r="C534" s="337" t="s">
        <v>54</v>
      </c>
      <c r="D534" s="390">
        <v>0.67</v>
      </c>
      <c r="E534" s="118"/>
      <c r="F534" s="118"/>
      <c r="G534" s="118"/>
      <c r="H534" s="177">
        <f>Insumos!D16</f>
        <v>8.69</v>
      </c>
      <c r="I534" s="100">
        <f>H534*D534</f>
        <v>5.82</v>
      </c>
      <c r="J534" s="136"/>
    </row>
    <row r="535" spans="2:12" s="434" customFormat="1" ht="30" customHeight="1">
      <c r="B535" s="520" t="s">
        <v>76</v>
      </c>
      <c r="C535" s="337" t="s">
        <v>54</v>
      </c>
      <c r="D535" s="390">
        <v>0.67</v>
      </c>
      <c r="E535" s="58"/>
      <c r="F535" s="118"/>
      <c r="G535" s="118"/>
      <c r="H535" s="177">
        <f>Insumos!D24</f>
        <v>6.53</v>
      </c>
      <c r="I535" s="100">
        <f>H535*D535</f>
        <v>4.38</v>
      </c>
      <c r="J535" s="49"/>
    </row>
    <row r="536" spans="2:12" s="434" customFormat="1" ht="30" customHeight="1">
      <c r="B536" s="689" t="s">
        <v>55</v>
      </c>
      <c r="C536" s="690"/>
      <c r="D536" s="690"/>
      <c r="E536" s="690"/>
      <c r="F536" s="690"/>
      <c r="G536" s="690"/>
      <c r="H536" s="690"/>
      <c r="I536" s="163">
        <f>SUM(I534:I535)</f>
        <v>10.199999999999999</v>
      </c>
      <c r="J536" s="60"/>
      <c r="L536" s="434" t="s">
        <v>587</v>
      </c>
    </row>
    <row r="537" spans="2:12" s="434" customFormat="1" ht="30" customHeight="1">
      <c r="B537" s="99" t="s">
        <v>62</v>
      </c>
      <c r="C537" s="54">
        <v>1</v>
      </c>
      <c r="D537" s="690" t="s">
        <v>63</v>
      </c>
      <c r="E537" s="690"/>
      <c r="F537" s="690"/>
      <c r="G537" s="690"/>
      <c r="H537" s="690"/>
      <c r="I537" s="163">
        <f>I536+I531+I527+I523</f>
        <v>21.51</v>
      </c>
      <c r="J537" s="456"/>
    </row>
    <row r="538" spans="2:12" s="434" customFormat="1" ht="30" customHeight="1">
      <c r="B538" s="716" t="s">
        <v>77</v>
      </c>
      <c r="C538" s="717"/>
      <c r="D538" s="717"/>
      <c r="E538" s="717"/>
      <c r="F538" s="717"/>
      <c r="G538" s="717"/>
      <c r="H538" s="717"/>
      <c r="I538" s="100">
        <f>I537/C537</f>
        <v>21.51</v>
      </c>
      <c r="J538" s="60"/>
    </row>
    <row r="539" spans="2:12" s="434" customFormat="1" ht="30" customHeight="1">
      <c r="B539" s="101" t="s">
        <v>113</v>
      </c>
      <c r="C539" s="129">
        <v>25</v>
      </c>
      <c r="D539" s="720" t="s">
        <v>5</v>
      </c>
      <c r="E539" s="720"/>
      <c r="F539" s="720"/>
      <c r="G539" s="720"/>
      <c r="H539" s="720"/>
      <c r="I539" s="102">
        <f>C539/100*I538</f>
        <v>5.38</v>
      </c>
      <c r="J539" s="60"/>
    </row>
    <row r="540" spans="2:12" ht="24" customHeight="1" thickBot="1">
      <c r="B540" s="702" t="s">
        <v>64</v>
      </c>
      <c r="C540" s="703"/>
      <c r="D540" s="703"/>
      <c r="E540" s="703"/>
      <c r="F540" s="703"/>
      <c r="G540" s="703"/>
      <c r="H540" s="703"/>
      <c r="I540" s="188">
        <f>I539+I538</f>
        <v>26.89</v>
      </c>
      <c r="J540" s="49"/>
    </row>
    <row r="541" spans="2:12" ht="15.75">
      <c r="B541" s="48"/>
      <c r="C541" s="48"/>
      <c r="D541" s="48"/>
      <c r="E541" s="48"/>
      <c r="F541" s="48"/>
      <c r="G541" s="48"/>
      <c r="H541" s="48"/>
      <c r="I541" s="214"/>
    </row>
    <row r="542" spans="2:12" ht="15.75">
      <c r="B542" s="48"/>
      <c r="C542" s="48"/>
      <c r="D542" s="48"/>
      <c r="E542" s="48"/>
      <c r="F542" s="48"/>
      <c r="G542" s="48"/>
      <c r="H542" s="48"/>
      <c r="I542" s="214"/>
    </row>
    <row r="543" spans="2:12" ht="13.5" thickBot="1"/>
    <row r="544" spans="2:12" ht="30" customHeight="1" thickBot="1">
      <c r="B544" s="484" t="s">
        <v>43</v>
      </c>
      <c r="C544" s="485" t="s">
        <v>376</v>
      </c>
      <c r="D544" s="709" t="s">
        <v>45</v>
      </c>
      <c r="E544" s="710"/>
      <c r="F544" s="710"/>
      <c r="G544" s="710"/>
      <c r="H544" s="710"/>
      <c r="I544" s="711"/>
    </row>
    <row r="545" spans="2:10" ht="30" customHeight="1">
      <c r="B545" s="712" t="s">
        <v>704</v>
      </c>
      <c r="C545" s="713"/>
      <c r="D545" s="713"/>
      <c r="E545" s="713"/>
      <c r="F545" s="713"/>
      <c r="G545" s="714"/>
      <c r="H545" s="699" t="s">
        <v>705</v>
      </c>
      <c r="I545" s="700"/>
    </row>
    <row r="546" spans="2:10" ht="30" customHeight="1">
      <c r="B546" s="706" t="s">
        <v>374</v>
      </c>
      <c r="C546" s="707"/>
      <c r="D546" s="707"/>
      <c r="E546" s="707"/>
      <c r="F546" s="707"/>
      <c r="G546" s="707"/>
      <c r="H546" s="480" t="s">
        <v>66</v>
      </c>
      <c r="I546" s="184" t="s">
        <v>87</v>
      </c>
    </row>
    <row r="547" spans="2:10" s="434" customFormat="1" ht="30" customHeight="1">
      <c r="B547" s="691" t="s">
        <v>46</v>
      </c>
      <c r="C547" s="692"/>
      <c r="D547" s="692"/>
      <c r="E547" s="692"/>
      <c r="F547" s="692"/>
      <c r="G547" s="692"/>
      <c r="H547" s="708"/>
      <c r="I547" s="693"/>
      <c r="J547" s="433"/>
    </row>
    <row r="548" spans="2:10" s="434" customFormat="1" ht="30" customHeight="1">
      <c r="B548" s="185" t="s">
        <v>57</v>
      </c>
      <c r="C548" s="115" t="s">
        <v>68</v>
      </c>
      <c r="D548" s="116" t="s">
        <v>48</v>
      </c>
      <c r="E548" s="116" t="s">
        <v>49</v>
      </c>
      <c r="F548" s="116" t="s">
        <v>50</v>
      </c>
      <c r="G548" s="117" t="s">
        <v>51</v>
      </c>
      <c r="H548" s="117" t="s">
        <v>52</v>
      </c>
      <c r="I548" s="186" t="s">
        <v>53</v>
      </c>
      <c r="J548" s="433"/>
    </row>
    <row r="549" spans="2:10" s="434" customFormat="1" ht="30" customHeight="1">
      <c r="B549" s="119"/>
      <c r="C549" s="179"/>
      <c r="D549" s="180"/>
      <c r="E549" s="114"/>
      <c r="F549" s="114"/>
      <c r="G549" s="55"/>
      <c r="H549" s="55"/>
      <c r="I549" s="100">
        <f>D549*H549</f>
        <v>0</v>
      </c>
      <c r="J549" s="433"/>
    </row>
    <row r="550" spans="2:10" s="434" customFormat="1" ht="30" customHeight="1">
      <c r="B550" s="704"/>
      <c r="C550" s="705"/>
      <c r="D550" s="705"/>
      <c r="E550" s="705"/>
      <c r="F550" s="705"/>
      <c r="G550" s="705"/>
      <c r="H550" s="705"/>
      <c r="I550" s="163">
        <f>SUM(I549:I549)</f>
        <v>0</v>
      </c>
      <c r="J550" s="433"/>
    </row>
    <row r="551" spans="2:10" s="434" customFormat="1" ht="30" customHeight="1">
      <c r="B551" s="691" t="s">
        <v>56</v>
      </c>
      <c r="C551" s="692"/>
      <c r="D551" s="692"/>
      <c r="E551" s="692"/>
      <c r="F551" s="692"/>
      <c r="G551" s="692"/>
      <c r="H551" s="692"/>
      <c r="I551" s="693"/>
      <c r="J551" s="433"/>
    </row>
    <row r="552" spans="2:10" s="434" customFormat="1" ht="30" customHeight="1">
      <c r="B552" s="447" t="s">
        <v>57</v>
      </c>
      <c r="C552" s="53" t="s">
        <v>68</v>
      </c>
      <c r="D552" s="177" t="s">
        <v>48</v>
      </c>
      <c r="E552" s="118"/>
      <c r="F552" s="118"/>
      <c r="G552" s="118"/>
      <c r="H552" s="58" t="s">
        <v>58</v>
      </c>
      <c r="I552" s="187" t="s">
        <v>53</v>
      </c>
      <c r="J552" s="433"/>
    </row>
    <row r="553" spans="2:10" s="434" customFormat="1" ht="30" customHeight="1">
      <c r="B553" s="212" t="s">
        <v>175</v>
      </c>
      <c r="C553" s="53" t="s">
        <v>87</v>
      </c>
      <c r="D553" s="177">
        <v>1</v>
      </c>
      <c r="E553" s="118"/>
      <c r="F553" s="118"/>
      <c r="G553" s="118"/>
      <c r="H553" s="53">
        <f>Insumos!D43</f>
        <v>70</v>
      </c>
      <c r="I553" s="100">
        <f>D553*H553</f>
        <v>70</v>
      </c>
      <c r="J553" s="433"/>
    </row>
    <row r="554" spans="2:10" s="434" customFormat="1" ht="30" customHeight="1">
      <c r="B554" s="520" t="s">
        <v>329</v>
      </c>
      <c r="C554" s="337" t="s">
        <v>74</v>
      </c>
      <c r="D554" s="177">
        <v>200</v>
      </c>
      <c r="E554" s="118"/>
      <c r="F554" s="118"/>
      <c r="G554" s="118"/>
      <c r="H554" s="53">
        <f>Insumos!D38</f>
        <v>0.5</v>
      </c>
      <c r="I554" s="100">
        <f>D554*H554</f>
        <v>100</v>
      </c>
      <c r="J554" s="433"/>
    </row>
    <row r="555" spans="2:10" s="434" customFormat="1" ht="30" customHeight="1">
      <c r="B555" s="689" t="s">
        <v>55</v>
      </c>
      <c r="C555" s="690"/>
      <c r="D555" s="690"/>
      <c r="E555" s="690"/>
      <c r="F555" s="690"/>
      <c r="G555" s="690"/>
      <c r="H555" s="690"/>
      <c r="I555" s="100">
        <f>SUM(I553:I554)</f>
        <v>170</v>
      </c>
      <c r="J555" s="433"/>
    </row>
    <row r="556" spans="2:10" s="434" customFormat="1" ht="30" customHeight="1">
      <c r="B556" s="691" t="s">
        <v>60</v>
      </c>
      <c r="C556" s="692"/>
      <c r="D556" s="692"/>
      <c r="E556" s="692"/>
      <c r="F556" s="692"/>
      <c r="G556" s="692"/>
      <c r="H556" s="692"/>
      <c r="I556" s="693"/>
      <c r="J556" s="433"/>
    </row>
    <row r="557" spans="2:10" s="434" customFormat="1" ht="30" customHeight="1">
      <c r="B557" s="182" t="s">
        <v>57</v>
      </c>
      <c r="C557" s="53" t="s">
        <v>68</v>
      </c>
      <c r="D557" s="58" t="s">
        <v>48</v>
      </c>
      <c r="E557" s="52"/>
      <c r="F557" s="52"/>
      <c r="G557" s="52"/>
      <c r="H557" s="58" t="s">
        <v>58</v>
      </c>
      <c r="I557" s="187" t="s">
        <v>53</v>
      </c>
      <c r="J557" s="433"/>
    </row>
    <row r="558" spans="2:10" s="434" customFormat="1" ht="30" customHeight="1">
      <c r="B558" s="520"/>
      <c r="C558" s="337"/>
      <c r="D558" s="530"/>
      <c r="E558" s="52"/>
      <c r="F558" s="52"/>
      <c r="G558" s="52"/>
      <c r="H558" s="58"/>
      <c r="I558" s="100"/>
      <c r="J558" s="433"/>
    </row>
    <row r="559" spans="2:10" s="434" customFormat="1" ht="30" customHeight="1">
      <c r="B559" s="689" t="s">
        <v>55</v>
      </c>
      <c r="C559" s="690"/>
      <c r="D559" s="690"/>
      <c r="E559" s="690"/>
      <c r="F559" s="690"/>
      <c r="G559" s="690"/>
      <c r="H559" s="690"/>
      <c r="I559" s="100">
        <f>SUM(I558:I558)</f>
        <v>0</v>
      </c>
      <c r="J559" s="433"/>
    </row>
    <row r="560" spans="2:10" s="434" customFormat="1" ht="30" customHeight="1">
      <c r="B560" s="691" t="s">
        <v>61</v>
      </c>
      <c r="C560" s="692"/>
      <c r="D560" s="692"/>
      <c r="E560" s="692"/>
      <c r="F560" s="692"/>
      <c r="G560" s="692"/>
      <c r="H560" s="692"/>
      <c r="I560" s="693"/>
      <c r="J560" s="433"/>
    </row>
    <row r="561" spans="2:10" s="434" customFormat="1" ht="30" customHeight="1">
      <c r="B561" s="447" t="s">
        <v>57</v>
      </c>
      <c r="C561" s="53" t="s">
        <v>68</v>
      </c>
      <c r="D561" s="177" t="s">
        <v>48</v>
      </c>
      <c r="E561" s="118"/>
      <c r="F561" s="118"/>
      <c r="G561" s="118"/>
      <c r="H561" s="58" t="s">
        <v>58</v>
      </c>
      <c r="I561" s="187" t="s">
        <v>53</v>
      </c>
      <c r="J561" s="433"/>
    </row>
    <row r="562" spans="2:10" s="434" customFormat="1" ht="30" customHeight="1">
      <c r="B562" s="520" t="s">
        <v>76</v>
      </c>
      <c r="C562" s="337" t="s">
        <v>54</v>
      </c>
      <c r="D562" s="390">
        <v>8</v>
      </c>
      <c r="E562" s="58"/>
      <c r="F562" s="177"/>
      <c r="G562" s="177"/>
      <c r="H562" s="55">
        <f>Insumos!D24</f>
        <v>6.53</v>
      </c>
      <c r="I562" s="100">
        <f>H562*D562</f>
        <v>52.24</v>
      </c>
      <c r="J562" s="433"/>
    </row>
    <row r="563" spans="2:10" s="434" customFormat="1" ht="30" customHeight="1">
      <c r="B563" s="689" t="s">
        <v>55</v>
      </c>
      <c r="C563" s="690"/>
      <c r="D563" s="690"/>
      <c r="E563" s="690"/>
      <c r="F563" s="690"/>
      <c r="G563" s="690"/>
      <c r="H563" s="690"/>
      <c r="I563" s="163">
        <f>SUM(I562:I562)</f>
        <v>52.24</v>
      </c>
      <c r="J563" s="433"/>
    </row>
    <row r="564" spans="2:10" s="434" customFormat="1" ht="30" customHeight="1">
      <c r="B564" s="99" t="s">
        <v>62</v>
      </c>
      <c r="C564" s="54">
        <v>1</v>
      </c>
      <c r="D564" s="690" t="s">
        <v>63</v>
      </c>
      <c r="E564" s="690"/>
      <c r="F564" s="690"/>
      <c r="G564" s="690"/>
      <c r="H564" s="690"/>
      <c r="I564" s="163">
        <f>I563+I559+I555+I550</f>
        <v>222.24</v>
      </c>
      <c r="J564" s="433"/>
    </row>
    <row r="565" spans="2:10" s="434" customFormat="1" ht="30" customHeight="1">
      <c r="B565" s="716" t="s">
        <v>77</v>
      </c>
      <c r="C565" s="717"/>
      <c r="D565" s="717"/>
      <c r="E565" s="717"/>
      <c r="F565" s="717"/>
      <c r="G565" s="717"/>
      <c r="H565" s="717"/>
      <c r="I565" s="100">
        <f>I564/C564</f>
        <v>222.24</v>
      </c>
      <c r="J565" s="433"/>
    </row>
    <row r="566" spans="2:10" s="434" customFormat="1" ht="30" customHeight="1">
      <c r="B566" s="101" t="s">
        <v>113</v>
      </c>
      <c r="C566" s="129">
        <v>25</v>
      </c>
      <c r="D566" s="720" t="s">
        <v>5</v>
      </c>
      <c r="E566" s="720"/>
      <c r="F566" s="720"/>
      <c r="G566" s="720"/>
      <c r="H566" s="720"/>
      <c r="I566" s="102">
        <f>C566/100*I565</f>
        <v>55.56</v>
      </c>
      <c r="J566" s="433"/>
    </row>
    <row r="567" spans="2:10" ht="16.5" thickBot="1">
      <c r="B567" s="702" t="s">
        <v>64</v>
      </c>
      <c r="C567" s="703"/>
      <c r="D567" s="703"/>
      <c r="E567" s="703"/>
      <c r="F567" s="703"/>
      <c r="G567" s="703"/>
      <c r="H567" s="703"/>
      <c r="I567" s="188">
        <f>I566+I565</f>
        <v>277.8</v>
      </c>
    </row>
    <row r="570" spans="2:10" ht="13.5" thickBot="1"/>
    <row r="571" spans="2:10" ht="30" customHeight="1" thickBot="1">
      <c r="B571" s="484" t="s">
        <v>43</v>
      </c>
      <c r="C571" s="485" t="s">
        <v>378</v>
      </c>
      <c r="D571" s="709" t="s">
        <v>45</v>
      </c>
      <c r="E571" s="710"/>
      <c r="F571" s="710"/>
      <c r="G571" s="710"/>
      <c r="H571" s="710"/>
      <c r="I571" s="711"/>
    </row>
    <row r="572" spans="2:10" ht="30" customHeight="1">
      <c r="B572" s="712" t="s">
        <v>704</v>
      </c>
      <c r="C572" s="713"/>
      <c r="D572" s="713"/>
      <c r="E572" s="713"/>
      <c r="F572" s="713"/>
      <c r="G572" s="714"/>
      <c r="H572" s="699" t="s">
        <v>705</v>
      </c>
      <c r="I572" s="700"/>
    </row>
    <row r="573" spans="2:10" s="434" customFormat="1" ht="30" customHeight="1">
      <c r="B573" s="706" t="s">
        <v>433</v>
      </c>
      <c r="C573" s="707"/>
      <c r="D573" s="707"/>
      <c r="E573" s="707"/>
      <c r="F573" s="707"/>
      <c r="G573" s="707"/>
      <c r="H573" s="480" t="s">
        <v>66</v>
      </c>
      <c r="I573" s="184" t="s">
        <v>80</v>
      </c>
      <c r="J573" s="433"/>
    </row>
    <row r="574" spans="2:10" s="434" customFormat="1" ht="30" customHeight="1">
      <c r="B574" s="691" t="s">
        <v>46</v>
      </c>
      <c r="C574" s="692"/>
      <c r="D574" s="692"/>
      <c r="E574" s="692"/>
      <c r="F574" s="692"/>
      <c r="G574" s="692"/>
      <c r="H574" s="708"/>
      <c r="I574" s="693"/>
      <c r="J574" s="433"/>
    </row>
    <row r="575" spans="2:10" s="434" customFormat="1" ht="30" customHeight="1">
      <c r="B575" s="185" t="s">
        <v>57</v>
      </c>
      <c r="C575" s="115" t="s">
        <v>68</v>
      </c>
      <c r="D575" s="116" t="s">
        <v>48</v>
      </c>
      <c r="E575" s="116" t="s">
        <v>49</v>
      </c>
      <c r="F575" s="116" t="s">
        <v>50</v>
      </c>
      <c r="G575" s="117" t="s">
        <v>51</v>
      </c>
      <c r="H575" s="117" t="s">
        <v>52</v>
      </c>
      <c r="I575" s="186" t="s">
        <v>53</v>
      </c>
      <c r="J575" s="433"/>
    </row>
    <row r="576" spans="2:10" s="434" customFormat="1" ht="30" customHeight="1">
      <c r="B576" s="119"/>
      <c r="C576" s="179"/>
      <c r="D576" s="180"/>
      <c r="E576" s="114"/>
      <c r="F576" s="114"/>
      <c r="G576" s="55"/>
      <c r="H576" s="55"/>
      <c r="I576" s="100">
        <f>D576*H576</f>
        <v>0</v>
      </c>
      <c r="J576" s="433"/>
    </row>
    <row r="577" spans="2:10" s="434" customFormat="1" ht="30" customHeight="1">
      <c r="B577" s="704"/>
      <c r="C577" s="705"/>
      <c r="D577" s="705"/>
      <c r="E577" s="705"/>
      <c r="F577" s="705"/>
      <c r="G577" s="705"/>
      <c r="H577" s="705"/>
      <c r="I577" s="163">
        <f>SUM(I576:I576)</f>
        <v>0</v>
      </c>
      <c r="J577" s="433"/>
    </row>
    <row r="578" spans="2:10" s="434" customFormat="1" ht="30" customHeight="1">
      <c r="B578" s="691" t="s">
        <v>56</v>
      </c>
      <c r="C578" s="692"/>
      <c r="D578" s="692"/>
      <c r="E578" s="692"/>
      <c r="F578" s="692"/>
      <c r="G578" s="692"/>
      <c r="H578" s="692"/>
      <c r="I578" s="693"/>
      <c r="J578" s="433"/>
    </row>
    <row r="579" spans="2:10" s="434" customFormat="1" ht="30" customHeight="1">
      <c r="B579" s="447" t="s">
        <v>57</v>
      </c>
      <c r="C579" s="53" t="s">
        <v>68</v>
      </c>
      <c r="D579" s="177" t="s">
        <v>48</v>
      </c>
      <c r="E579" s="118"/>
      <c r="F579" s="118"/>
      <c r="G579" s="118"/>
      <c r="H579" s="58" t="s">
        <v>58</v>
      </c>
      <c r="I579" s="187" t="s">
        <v>53</v>
      </c>
      <c r="J579" s="433"/>
    </row>
    <row r="580" spans="2:10" s="434" customFormat="1" ht="30" customHeight="1">
      <c r="B580" s="212"/>
      <c r="C580" s="53"/>
      <c r="D580" s="177"/>
      <c r="E580" s="118"/>
      <c r="F580" s="118"/>
      <c r="G580" s="118"/>
      <c r="H580" s="53"/>
      <c r="I580" s="100">
        <f>D580*H580</f>
        <v>0</v>
      </c>
      <c r="J580" s="433"/>
    </row>
    <row r="581" spans="2:10" s="434" customFormat="1" ht="30" customHeight="1">
      <c r="B581" s="689" t="s">
        <v>55</v>
      </c>
      <c r="C581" s="690"/>
      <c r="D581" s="690"/>
      <c r="E581" s="690"/>
      <c r="F581" s="690"/>
      <c r="G581" s="690"/>
      <c r="H581" s="690"/>
      <c r="I581" s="100">
        <f>SUM(I580:I580)</f>
        <v>0</v>
      </c>
      <c r="J581" s="433"/>
    </row>
    <row r="582" spans="2:10" s="434" customFormat="1" ht="30" customHeight="1">
      <c r="B582" s="691" t="s">
        <v>60</v>
      </c>
      <c r="C582" s="692"/>
      <c r="D582" s="692"/>
      <c r="E582" s="692"/>
      <c r="F582" s="692"/>
      <c r="G582" s="692"/>
      <c r="H582" s="692"/>
      <c r="I582" s="693"/>
      <c r="J582" s="433"/>
    </row>
    <row r="583" spans="2:10" s="434" customFormat="1" ht="30" customHeight="1">
      <c r="B583" s="182" t="s">
        <v>57</v>
      </c>
      <c r="C583" s="53" t="s">
        <v>68</v>
      </c>
      <c r="D583" s="58" t="s">
        <v>48</v>
      </c>
      <c r="E583" s="52"/>
      <c r="F583" s="52"/>
      <c r="G583" s="52"/>
      <c r="H583" s="58" t="s">
        <v>58</v>
      </c>
      <c r="I583" s="187" t="s">
        <v>53</v>
      </c>
      <c r="J583" s="433"/>
    </row>
    <row r="584" spans="2:10" s="434" customFormat="1" ht="30" customHeight="1">
      <c r="B584" s="212" t="s">
        <v>379</v>
      </c>
      <c r="C584" s="53" t="s">
        <v>87</v>
      </c>
      <c r="D584" s="177">
        <v>5.0000000000000001E-3</v>
      </c>
      <c r="E584" s="52"/>
      <c r="F584" s="52"/>
      <c r="G584" s="52"/>
      <c r="H584" s="53">
        <f>I618</f>
        <v>269.14</v>
      </c>
      <c r="I584" s="100">
        <f>D584*H584</f>
        <v>1.35</v>
      </c>
      <c r="J584" s="433"/>
    </row>
    <row r="585" spans="2:10" s="434" customFormat="1" ht="30" customHeight="1">
      <c r="B585" s="689" t="s">
        <v>55</v>
      </c>
      <c r="C585" s="690"/>
      <c r="D585" s="690"/>
      <c r="E585" s="690"/>
      <c r="F585" s="690"/>
      <c r="G585" s="690"/>
      <c r="H585" s="690"/>
      <c r="I585" s="100">
        <f>SUM(I584:I584)</f>
        <v>1.35</v>
      </c>
      <c r="J585" s="433"/>
    </row>
    <row r="586" spans="2:10" s="434" customFormat="1" ht="30" customHeight="1">
      <c r="B586" s="691" t="s">
        <v>61</v>
      </c>
      <c r="C586" s="692"/>
      <c r="D586" s="692"/>
      <c r="E586" s="692"/>
      <c r="F586" s="692"/>
      <c r="G586" s="692"/>
      <c r="H586" s="692"/>
      <c r="I586" s="693"/>
      <c r="J586" s="433"/>
    </row>
    <row r="587" spans="2:10" s="434" customFormat="1" ht="30" customHeight="1">
      <c r="B587" s="447" t="s">
        <v>57</v>
      </c>
      <c r="C587" s="53" t="s">
        <v>68</v>
      </c>
      <c r="D587" s="177" t="s">
        <v>48</v>
      </c>
      <c r="E587" s="118"/>
      <c r="F587" s="118"/>
      <c r="G587" s="118"/>
      <c r="H587" s="58" t="s">
        <v>58</v>
      </c>
      <c r="I587" s="187" t="s">
        <v>53</v>
      </c>
      <c r="J587" s="433"/>
    </row>
    <row r="588" spans="2:10" s="434" customFormat="1" ht="30" customHeight="1">
      <c r="B588" s="212" t="s">
        <v>104</v>
      </c>
      <c r="C588" s="53" t="s">
        <v>54</v>
      </c>
      <c r="D588" s="177">
        <v>0.5</v>
      </c>
      <c r="E588" s="118"/>
      <c r="F588" s="118"/>
      <c r="G588" s="118"/>
      <c r="H588" s="53">
        <f>Insumos!D16</f>
        <v>8.69</v>
      </c>
      <c r="I588" s="100">
        <f>H588*D588</f>
        <v>4.3499999999999996</v>
      </c>
      <c r="J588" s="433"/>
    </row>
    <row r="589" spans="2:10" s="434" customFormat="1" ht="30" customHeight="1">
      <c r="B589" s="520" t="s">
        <v>76</v>
      </c>
      <c r="C589" s="337" t="s">
        <v>54</v>
      </c>
      <c r="D589" s="177">
        <v>0.5</v>
      </c>
      <c r="E589" s="58"/>
      <c r="F589" s="118"/>
      <c r="G589" s="118"/>
      <c r="H589" s="53">
        <f>Insumos!D24</f>
        <v>6.53</v>
      </c>
      <c r="I589" s="100">
        <f>H589*D589</f>
        <v>3.27</v>
      </c>
      <c r="J589" s="433"/>
    </row>
    <row r="590" spans="2:10" s="434" customFormat="1" ht="30" customHeight="1">
      <c r="B590" s="689" t="s">
        <v>55</v>
      </c>
      <c r="C590" s="690"/>
      <c r="D590" s="690"/>
      <c r="E590" s="690"/>
      <c r="F590" s="690"/>
      <c r="G590" s="690"/>
      <c r="H590" s="690"/>
      <c r="I590" s="163">
        <f>SUM(I588:I589)</f>
        <v>7.62</v>
      </c>
      <c r="J590" s="433"/>
    </row>
    <row r="591" spans="2:10" s="434" customFormat="1" ht="30" customHeight="1">
      <c r="B591" s="99" t="s">
        <v>62</v>
      </c>
      <c r="C591" s="54">
        <v>1</v>
      </c>
      <c r="D591" s="690" t="s">
        <v>63</v>
      </c>
      <c r="E591" s="690"/>
      <c r="F591" s="690"/>
      <c r="G591" s="690"/>
      <c r="H591" s="690"/>
      <c r="I591" s="163">
        <f>I590+I585+I581+I577</f>
        <v>8.9700000000000006</v>
      </c>
      <c r="J591" s="433"/>
    </row>
    <row r="592" spans="2:10" s="434" customFormat="1" ht="30" customHeight="1">
      <c r="B592" s="716" t="s">
        <v>77</v>
      </c>
      <c r="C592" s="717"/>
      <c r="D592" s="717"/>
      <c r="E592" s="717"/>
      <c r="F592" s="717"/>
      <c r="G592" s="717"/>
      <c r="H592" s="717"/>
      <c r="I592" s="100">
        <f>I591/C591</f>
        <v>8.9700000000000006</v>
      </c>
      <c r="J592" s="433"/>
    </row>
    <row r="593" spans="2:10">
      <c r="B593" s="101" t="s">
        <v>113</v>
      </c>
      <c r="C593" s="129">
        <v>25</v>
      </c>
      <c r="D593" s="720" t="s">
        <v>5</v>
      </c>
      <c r="E593" s="720"/>
      <c r="F593" s="720"/>
      <c r="G593" s="720"/>
      <c r="H593" s="720"/>
      <c r="I593" s="102">
        <f>C593/100*I592</f>
        <v>2.2400000000000002</v>
      </c>
    </row>
    <row r="594" spans="2:10" ht="16.5" thickBot="1">
      <c r="B594" s="702" t="s">
        <v>64</v>
      </c>
      <c r="C594" s="703"/>
      <c r="D594" s="703"/>
      <c r="E594" s="703"/>
      <c r="F594" s="703"/>
      <c r="G594" s="703"/>
      <c r="H594" s="703"/>
      <c r="I594" s="188">
        <f>I593+I592</f>
        <v>11.21</v>
      </c>
    </row>
    <row r="597" spans="2:10" ht="13.5" thickBot="1"/>
    <row r="598" spans="2:10" ht="30" customHeight="1" thickBot="1">
      <c r="B598" s="484" t="s">
        <v>43</v>
      </c>
      <c r="C598" s="485" t="s">
        <v>381</v>
      </c>
      <c r="D598" s="709" t="s">
        <v>45</v>
      </c>
      <c r="E598" s="710"/>
      <c r="F598" s="710"/>
      <c r="G598" s="710"/>
      <c r="H598" s="710"/>
      <c r="I598" s="711"/>
    </row>
    <row r="599" spans="2:10" ht="30" customHeight="1">
      <c r="B599" s="712" t="s">
        <v>704</v>
      </c>
      <c r="C599" s="713"/>
      <c r="D599" s="713"/>
      <c r="E599" s="713"/>
      <c r="F599" s="713"/>
      <c r="G599" s="714"/>
      <c r="H599" s="699" t="s">
        <v>705</v>
      </c>
      <c r="I599" s="700"/>
    </row>
    <row r="600" spans="2:10" ht="30" customHeight="1">
      <c r="B600" s="706" t="s">
        <v>380</v>
      </c>
      <c r="C600" s="707"/>
      <c r="D600" s="707"/>
      <c r="E600" s="707"/>
      <c r="F600" s="707"/>
      <c r="G600" s="707"/>
      <c r="H600" s="480" t="s">
        <v>66</v>
      </c>
      <c r="I600" s="184" t="s">
        <v>87</v>
      </c>
    </row>
    <row r="601" spans="2:10" ht="15.75">
      <c r="B601" s="691" t="s">
        <v>46</v>
      </c>
      <c r="C601" s="692"/>
      <c r="D601" s="692"/>
      <c r="E601" s="692"/>
      <c r="F601" s="692"/>
      <c r="G601" s="692"/>
      <c r="H601" s="708"/>
      <c r="I601" s="693"/>
    </row>
    <row r="602" spans="2:10" s="434" customFormat="1" ht="30" customHeight="1">
      <c r="B602" s="185" t="s">
        <v>57</v>
      </c>
      <c r="C602" s="115" t="s">
        <v>68</v>
      </c>
      <c r="D602" s="116" t="s">
        <v>48</v>
      </c>
      <c r="E602" s="116" t="s">
        <v>49</v>
      </c>
      <c r="F602" s="116" t="s">
        <v>50</v>
      </c>
      <c r="G602" s="117" t="s">
        <v>51</v>
      </c>
      <c r="H602" s="117" t="s">
        <v>52</v>
      </c>
      <c r="I602" s="186" t="s">
        <v>53</v>
      </c>
      <c r="J602" s="433"/>
    </row>
    <row r="603" spans="2:10" s="434" customFormat="1" ht="30" customHeight="1">
      <c r="B603" s="384" t="s">
        <v>299</v>
      </c>
      <c r="C603" s="179" t="s">
        <v>54</v>
      </c>
      <c r="D603" s="180">
        <v>0.51400000000000001</v>
      </c>
      <c r="E603" s="114"/>
      <c r="F603" s="114"/>
      <c r="G603" s="55"/>
      <c r="H603" s="55">
        <f>bet</f>
        <v>3.27</v>
      </c>
      <c r="I603" s="100">
        <f>D603*H603</f>
        <v>1.68</v>
      </c>
      <c r="J603" s="433"/>
    </row>
    <row r="604" spans="2:10" s="434" customFormat="1" ht="30" customHeight="1">
      <c r="B604" s="704"/>
      <c r="C604" s="705"/>
      <c r="D604" s="705"/>
      <c r="E604" s="705"/>
      <c r="F604" s="705"/>
      <c r="G604" s="705"/>
      <c r="H604" s="705"/>
      <c r="I604" s="163">
        <f>SUM(I603:I603)</f>
        <v>1.68</v>
      </c>
      <c r="J604" s="433"/>
    </row>
    <row r="605" spans="2:10" s="434" customFormat="1" ht="30" customHeight="1">
      <c r="B605" s="691" t="s">
        <v>56</v>
      </c>
      <c r="C605" s="692"/>
      <c r="D605" s="692"/>
      <c r="E605" s="692"/>
      <c r="F605" s="692"/>
      <c r="G605" s="692"/>
      <c r="H605" s="692"/>
      <c r="I605" s="693"/>
      <c r="J605" s="433"/>
    </row>
    <row r="606" spans="2:10" s="434" customFormat="1" ht="30" customHeight="1">
      <c r="B606" s="447" t="s">
        <v>57</v>
      </c>
      <c r="C606" s="53" t="s">
        <v>68</v>
      </c>
      <c r="D606" s="177" t="s">
        <v>48</v>
      </c>
      <c r="E606" s="118"/>
      <c r="F606" s="118"/>
      <c r="G606" s="118"/>
      <c r="H606" s="58" t="s">
        <v>58</v>
      </c>
      <c r="I606" s="187" t="s">
        <v>53</v>
      </c>
      <c r="J606" s="433"/>
    </row>
    <row r="607" spans="2:10" s="434" customFormat="1" ht="30" customHeight="1">
      <c r="B607" s="212" t="s">
        <v>176</v>
      </c>
      <c r="C607" s="53" t="s">
        <v>87</v>
      </c>
      <c r="D607" s="177">
        <v>1.216</v>
      </c>
      <c r="E607" s="118"/>
      <c r="F607" s="118"/>
      <c r="G607" s="118"/>
      <c r="H607" s="53">
        <f>Insumos!D42</f>
        <v>67.5</v>
      </c>
      <c r="I607" s="100">
        <f>D607*H607</f>
        <v>82.08</v>
      </c>
      <c r="J607" s="433"/>
    </row>
    <row r="608" spans="2:10" s="434" customFormat="1" ht="30" customHeight="1">
      <c r="B608" s="212" t="s">
        <v>181</v>
      </c>
      <c r="C608" s="53" t="s">
        <v>74</v>
      </c>
      <c r="D608" s="177">
        <v>162</v>
      </c>
      <c r="E608" s="118"/>
      <c r="F608" s="118"/>
      <c r="G608" s="118"/>
      <c r="H608" s="53">
        <f>Insumos!D44</f>
        <v>0.45</v>
      </c>
      <c r="I608" s="100">
        <f>D608*H608</f>
        <v>72.900000000000006</v>
      </c>
      <c r="J608" s="433"/>
    </row>
    <row r="609" spans="2:10" s="434" customFormat="1" ht="30" customHeight="1">
      <c r="B609" s="689" t="s">
        <v>55</v>
      </c>
      <c r="C609" s="690"/>
      <c r="D609" s="690"/>
      <c r="E609" s="690"/>
      <c r="F609" s="690"/>
      <c r="G609" s="690"/>
      <c r="H609" s="690"/>
      <c r="I609" s="100">
        <f>SUM(I607:I608)</f>
        <v>154.97999999999999</v>
      </c>
      <c r="J609" s="433"/>
    </row>
    <row r="610" spans="2:10" s="434" customFormat="1" ht="30" customHeight="1">
      <c r="B610" s="691" t="s">
        <v>60</v>
      </c>
      <c r="C610" s="692"/>
      <c r="D610" s="692"/>
      <c r="E610" s="692"/>
      <c r="F610" s="692"/>
      <c r="G610" s="692"/>
      <c r="H610" s="692"/>
      <c r="I610" s="693"/>
      <c r="J610" s="433"/>
    </row>
    <row r="611" spans="2:10" s="434" customFormat="1" ht="30" customHeight="1">
      <c r="B611" s="182" t="s">
        <v>57</v>
      </c>
      <c r="C611" s="53" t="s">
        <v>68</v>
      </c>
      <c r="D611" s="58" t="s">
        <v>48</v>
      </c>
      <c r="E611" s="52"/>
      <c r="F611" s="52"/>
      <c r="G611" s="52"/>
      <c r="H611" s="58" t="s">
        <v>58</v>
      </c>
      <c r="I611" s="187" t="s">
        <v>53</v>
      </c>
      <c r="J611" s="433"/>
    </row>
    <row r="612" spans="2:10" s="434" customFormat="1" ht="30" customHeight="1">
      <c r="B612" s="520"/>
      <c r="C612" s="337"/>
      <c r="D612" s="530"/>
      <c r="E612" s="52"/>
      <c r="F612" s="52"/>
      <c r="G612" s="52"/>
      <c r="H612" s="58"/>
      <c r="I612" s="100"/>
      <c r="J612" s="433"/>
    </row>
    <row r="613" spans="2:10" s="434" customFormat="1" ht="30" customHeight="1">
      <c r="B613" s="689" t="s">
        <v>55</v>
      </c>
      <c r="C613" s="690"/>
      <c r="D613" s="690"/>
      <c r="E613" s="690"/>
      <c r="F613" s="690"/>
      <c r="G613" s="690"/>
      <c r="H613" s="690"/>
      <c r="I613" s="100">
        <f>SUM(I612:I612)</f>
        <v>0</v>
      </c>
      <c r="J613" s="433"/>
    </row>
    <row r="614" spans="2:10" s="434" customFormat="1" ht="30" customHeight="1">
      <c r="B614" s="691" t="s">
        <v>61</v>
      </c>
      <c r="C614" s="692"/>
      <c r="D614" s="692"/>
      <c r="E614" s="692"/>
      <c r="F614" s="692"/>
      <c r="G614" s="692"/>
      <c r="H614" s="692"/>
      <c r="I614" s="693"/>
      <c r="J614" s="433"/>
    </row>
    <row r="615" spans="2:10" s="434" customFormat="1" ht="30" customHeight="1">
      <c r="B615" s="447" t="s">
        <v>57</v>
      </c>
      <c r="C615" s="53" t="s">
        <v>68</v>
      </c>
      <c r="D615" s="177" t="s">
        <v>48</v>
      </c>
      <c r="E615" s="118"/>
      <c r="F615" s="118"/>
      <c r="G615" s="118"/>
      <c r="H615" s="58" t="s">
        <v>58</v>
      </c>
      <c r="I615" s="187" t="s">
        <v>53</v>
      </c>
      <c r="J615" s="433"/>
    </row>
    <row r="616" spans="2:10" s="434" customFormat="1" ht="30" customHeight="1">
      <c r="B616" s="520" t="s">
        <v>76</v>
      </c>
      <c r="C616" s="337" t="s">
        <v>54</v>
      </c>
      <c r="D616" s="177">
        <v>17.224599999999999</v>
      </c>
      <c r="E616" s="58"/>
      <c r="F616" s="118"/>
      <c r="G616" s="118"/>
      <c r="H616" s="53">
        <f>Insumos!D24</f>
        <v>6.53</v>
      </c>
      <c r="I616" s="100">
        <f>H616*D616</f>
        <v>112.48</v>
      </c>
      <c r="J616" s="433"/>
    </row>
    <row r="617" spans="2:10" s="434" customFormat="1" ht="30" customHeight="1">
      <c r="B617" s="689" t="s">
        <v>55</v>
      </c>
      <c r="C617" s="690"/>
      <c r="D617" s="690"/>
      <c r="E617" s="690"/>
      <c r="F617" s="690"/>
      <c r="G617" s="690"/>
      <c r="H617" s="690"/>
      <c r="I617" s="163">
        <f>SUM(I616:I616)</f>
        <v>112.48</v>
      </c>
      <c r="J617" s="433"/>
    </row>
    <row r="618" spans="2:10" s="434" customFormat="1" ht="30" customHeight="1">
      <c r="B618" s="99" t="s">
        <v>62</v>
      </c>
      <c r="C618" s="54">
        <v>1</v>
      </c>
      <c r="D618" s="690" t="s">
        <v>63</v>
      </c>
      <c r="E618" s="690"/>
      <c r="F618" s="690"/>
      <c r="G618" s="690"/>
      <c r="H618" s="690"/>
      <c r="I618" s="163">
        <f>I617+I613+I609+I604</f>
        <v>269.14</v>
      </c>
      <c r="J618" s="433"/>
    </row>
    <row r="619" spans="2:10" s="434" customFormat="1" ht="30" customHeight="1">
      <c r="B619" s="716" t="s">
        <v>77</v>
      </c>
      <c r="C619" s="717"/>
      <c r="D619" s="717"/>
      <c r="E619" s="717"/>
      <c r="F619" s="717"/>
      <c r="G619" s="717"/>
      <c r="H619" s="717"/>
      <c r="I619" s="100">
        <f>I618/C618</f>
        <v>269.14</v>
      </c>
      <c r="J619" s="433"/>
    </row>
    <row r="620" spans="2:10" s="434" customFormat="1" ht="30" customHeight="1">
      <c r="B620" s="101" t="s">
        <v>113</v>
      </c>
      <c r="C620" s="129">
        <v>25</v>
      </c>
      <c r="D620" s="720" t="s">
        <v>5</v>
      </c>
      <c r="E620" s="720"/>
      <c r="F620" s="720"/>
      <c r="G620" s="720"/>
      <c r="H620" s="720"/>
      <c r="I620" s="102">
        <f>C620/100*I619</f>
        <v>67.290000000000006</v>
      </c>
      <c r="J620" s="433"/>
    </row>
    <row r="621" spans="2:10" s="434" customFormat="1" ht="30" customHeight="1" thickBot="1">
      <c r="B621" s="702" t="s">
        <v>64</v>
      </c>
      <c r="C621" s="703"/>
      <c r="D621" s="703"/>
      <c r="E621" s="703"/>
      <c r="F621" s="703"/>
      <c r="G621" s="703"/>
      <c r="H621" s="703"/>
      <c r="I621" s="188">
        <f>I620+I619</f>
        <v>336.43</v>
      </c>
      <c r="J621" s="433"/>
    </row>
    <row r="622" spans="2:10" s="434" customFormat="1">
      <c r="B622" s="91"/>
      <c r="C622" s="94"/>
      <c r="D622" s="178"/>
      <c r="E622" s="91"/>
      <c r="F622" s="91"/>
      <c r="G622" s="91"/>
      <c r="H622" s="91"/>
      <c r="I622" s="95"/>
      <c r="J622" s="433"/>
    </row>
    <row r="623" spans="2:10" s="434" customFormat="1">
      <c r="B623" s="91"/>
      <c r="C623" s="94"/>
      <c r="D623" s="178"/>
      <c r="E623" s="91"/>
      <c r="F623" s="91"/>
      <c r="G623" s="91"/>
      <c r="H623" s="91"/>
      <c r="I623" s="95"/>
      <c r="J623" s="433"/>
    </row>
    <row r="624" spans="2:10" s="434" customFormat="1" ht="13.5" thickBot="1">
      <c r="B624" s="91"/>
      <c r="C624" s="94"/>
      <c r="D624" s="178"/>
      <c r="E624" s="91"/>
      <c r="F624" s="91"/>
      <c r="G624" s="91"/>
      <c r="H624" s="91"/>
      <c r="I624" s="95"/>
      <c r="J624" s="433"/>
    </row>
    <row r="625" spans="2:10" s="434" customFormat="1" ht="30" customHeight="1" thickBot="1">
      <c r="B625" s="484" t="s">
        <v>43</v>
      </c>
      <c r="C625" s="486" t="s">
        <v>384</v>
      </c>
      <c r="D625" s="709" t="s">
        <v>45</v>
      </c>
      <c r="E625" s="710"/>
      <c r="F625" s="710"/>
      <c r="G625" s="710"/>
      <c r="H625" s="710"/>
      <c r="I625" s="711"/>
      <c r="J625" s="433"/>
    </row>
    <row r="626" spans="2:10" s="434" customFormat="1" ht="30" customHeight="1">
      <c r="B626" s="712" t="s">
        <v>704</v>
      </c>
      <c r="C626" s="713"/>
      <c r="D626" s="713"/>
      <c r="E626" s="713"/>
      <c r="F626" s="713"/>
      <c r="G626" s="714"/>
      <c r="H626" s="699" t="s">
        <v>705</v>
      </c>
      <c r="I626" s="700"/>
      <c r="J626" s="433"/>
    </row>
    <row r="627" spans="2:10">
      <c r="B627" s="706" t="s">
        <v>432</v>
      </c>
      <c r="C627" s="707"/>
      <c r="D627" s="707"/>
      <c r="E627" s="707"/>
      <c r="F627" s="707"/>
      <c r="G627" s="707"/>
      <c r="H627" s="480" t="s">
        <v>66</v>
      </c>
      <c r="I627" s="184" t="s">
        <v>87</v>
      </c>
    </row>
    <row r="628" spans="2:10" ht="15.75">
      <c r="B628" s="691" t="s">
        <v>46</v>
      </c>
      <c r="C628" s="692"/>
      <c r="D628" s="692"/>
      <c r="E628" s="692"/>
      <c r="F628" s="692"/>
      <c r="G628" s="692"/>
      <c r="H628" s="708"/>
      <c r="I628" s="693"/>
    </row>
    <row r="629" spans="2:10" ht="25.5">
      <c r="B629" s="185" t="s">
        <v>57</v>
      </c>
      <c r="C629" s="115" t="s">
        <v>68</v>
      </c>
      <c r="D629" s="116" t="s">
        <v>48</v>
      </c>
      <c r="E629" s="116" t="s">
        <v>49</v>
      </c>
      <c r="F629" s="116" t="s">
        <v>50</v>
      </c>
      <c r="G629" s="117" t="s">
        <v>51</v>
      </c>
      <c r="H629" s="117" t="s">
        <v>52</v>
      </c>
      <c r="I629" s="186" t="s">
        <v>53</v>
      </c>
    </row>
    <row r="630" spans="2:10">
      <c r="B630" s="119"/>
      <c r="C630" s="179"/>
      <c r="D630" s="180"/>
      <c r="E630" s="114"/>
      <c r="F630" s="114"/>
      <c r="G630" s="55"/>
      <c r="H630" s="55"/>
      <c r="I630" s="100">
        <f>D630*H630</f>
        <v>0</v>
      </c>
    </row>
    <row r="631" spans="2:10" ht="30" customHeight="1">
      <c r="B631" s="704"/>
      <c r="C631" s="705"/>
      <c r="D631" s="705"/>
      <c r="E631" s="705"/>
      <c r="F631" s="705"/>
      <c r="G631" s="705"/>
      <c r="H631" s="705"/>
      <c r="I631" s="163">
        <f>SUM(I630:I630)</f>
        <v>0</v>
      </c>
    </row>
    <row r="632" spans="2:10" ht="30" customHeight="1">
      <c r="B632" s="691" t="s">
        <v>56</v>
      </c>
      <c r="C632" s="692"/>
      <c r="D632" s="692"/>
      <c r="E632" s="692"/>
      <c r="F632" s="692"/>
      <c r="G632" s="692"/>
      <c r="H632" s="692"/>
      <c r="I632" s="693"/>
    </row>
    <row r="633" spans="2:10" ht="30" customHeight="1">
      <c r="B633" s="447" t="s">
        <v>57</v>
      </c>
      <c r="C633" s="53" t="s">
        <v>68</v>
      </c>
      <c r="D633" s="177" t="s">
        <v>48</v>
      </c>
      <c r="E633" s="118"/>
      <c r="F633" s="118"/>
      <c r="G633" s="118"/>
      <c r="H633" s="58" t="s">
        <v>58</v>
      </c>
      <c r="I633" s="187" t="s">
        <v>53</v>
      </c>
    </row>
    <row r="634" spans="2:10" ht="30" customHeight="1">
      <c r="B634" s="212" t="s">
        <v>383</v>
      </c>
      <c r="C634" s="53" t="s">
        <v>87</v>
      </c>
      <c r="D634" s="177">
        <v>1.05</v>
      </c>
      <c r="E634" s="118"/>
      <c r="F634" s="118"/>
      <c r="G634" s="118"/>
      <c r="H634" s="53">
        <f>Insumos!D60</f>
        <v>65.8</v>
      </c>
      <c r="I634" s="100">
        <f>D634*H634</f>
        <v>69.09</v>
      </c>
    </row>
    <row r="635" spans="2:10" s="434" customFormat="1" ht="30" customHeight="1">
      <c r="B635" s="689" t="s">
        <v>55</v>
      </c>
      <c r="C635" s="690"/>
      <c r="D635" s="690"/>
      <c r="E635" s="690"/>
      <c r="F635" s="690"/>
      <c r="G635" s="690"/>
      <c r="H635" s="690"/>
      <c r="I635" s="100">
        <f>SUM(I634:I634)</f>
        <v>69.09</v>
      </c>
      <c r="J635" s="433"/>
    </row>
    <row r="636" spans="2:10" s="434" customFormat="1" ht="30" customHeight="1">
      <c r="B636" s="691" t="s">
        <v>60</v>
      </c>
      <c r="C636" s="692"/>
      <c r="D636" s="692"/>
      <c r="E636" s="692"/>
      <c r="F636" s="692"/>
      <c r="G636" s="692"/>
      <c r="H636" s="692"/>
      <c r="I636" s="693"/>
      <c r="J636" s="433"/>
    </row>
    <row r="637" spans="2:10" s="434" customFormat="1" ht="30" customHeight="1">
      <c r="B637" s="182" t="s">
        <v>57</v>
      </c>
      <c r="C637" s="53" t="s">
        <v>68</v>
      </c>
      <c r="D637" s="58" t="s">
        <v>48</v>
      </c>
      <c r="E637" s="52"/>
      <c r="F637" s="52"/>
      <c r="G637" s="52"/>
      <c r="H637" s="58" t="s">
        <v>58</v>
      </c>
      <c r="I637" s="187" t="s">
        <v>53</v>
      </c>
      <c r="J637" s="433"/>
    </row>
    <row r="638" spans="2:10" s="434" customFormat="1" ht="30" customHeight="1">
      <c r="B638" s="212"/>
      <c r="C638" s="53"/>
      <c r="D638" s="177"/>
      <c r="E638" s="52"/>
      <c r="F638" s="52"/>
      <c r="G638" s="52"/>
      <c r="H638" s="53"/>
      <c r="I638" s="100">
        <f>D638*H638</f>
        <v>0</v>
      </c>
      <c r="J638" s="433"/>
    </row>
    <row r="639" spans="2:10" s="434" customFormat="1" ht="30" customHeight="1">
      <c r="B639" s="689" t="s">
        <v>55</v>
      </c>
      <c r="C639" s="690"/>
      <c r="D639" s="690"/>
      <c r="E639" s="690"/>
      <c r="F639" s="690"/>
      <c r="G639" s="690"/>
      <c r="H639" s="690"/>
      <c r="I639" s="100">
        <f>SUM(I638:I638)</f>
        <v>0</v>
      </c>
      <c r="J639" s="433"/>
    </row>
    <row r="640" spans="2:10" s="434" customFormat="1" ht="30" customHeight="1">
      <c r="B640" s="691" t="s">
        <v>61</v>
      </c>
      <c r="C640" s="692"/>
      <c r="D640" s="692"/>
      <c r="E640" s="692"/>
      <c r="F640" s="692"/>
      <c r="G640" s="692"/>
      <c r="H640" s="692"/>
      <c r="I640" s="693"/>
      <c r="J640" s="433"/>
    </row>
    <row r="641" spans="2:10" s="434" customFormat="1" ht="30" customHeight="1">
      <c r="B641" s="447" t="s">
        <v>57</v>
      </c>
      <c r="C641" s="53" t="s">
        <v>68</v>
      </c>
      <c r="D641" s="177" t="s">
        <v>48</v>
      </c>
      <c r="E641" s="118"/>
      <c r="F641" s="118"/>
      <c r="G641" s="118"/>
      <c r="H641" s="58" t="s">
        <v>58</v>
      </c>
      <c r="I641" s="187" t="s">
        <v>53</v>
      </c>
      <c r="J641" s="433"/>
    </row>
    <row r="642" spans="2:10" s="434" customFormat="1" ht="30" customHeight="1">
      <c r="B642" s="520" t="s">
        <v>76</v>
      </c>
      <c r="C642" s="337" t="s">
        <v>54</v>
      </c>
      <c r="D642" s="177">
        <v>2</v>
      </c>
      <c r="E642" s="58"/>
      <c r="F642" s="118"/>
      <c r="G642" s="118"/>
      <c r="H642" s="53">
        <f>Insumos!D24</f>
        <v>6.53</v>
      </c>
      <c r="I642" s="100">
        <f>H642*D642</f>
        <v>13.06</v>
      </c>
      <c r="J642" s="433"/>
    </row>
    <row r="643" spans="2:10" s="434" customFormat="1" ht="30" customHeight="1">
      <c r="B643" s="689" t="s">
        <v>55</v>
      </c>
      <c r="C643" s="690"/>
      <c r="D643" s="690"/>
      <c r="E643" s="690"/>
      <c r="F643" s="690"/>
      <c r="G643" s="690"/>
      <c r="H643" s="690"/>
      <c r="I643" s="163">
        <f>SUM(I642:I642)</f>
        <v>13.06</v>
      </c>
      <c r="J643" s="433"/>
    </row>
    <row r="644" spans="2:10" s="434" customFormat="1" ht="30" customHeight="1">
      <c r="B644" s="99" t="s">
        <v>62</v>
      </c>
      <c r="C644" s="54">
        <v>1</v>
      </c>
      <c r="D644" s="690" t="s">
        <v>63</v>
      </c>
      <c r="E644" s="690"/>
      <c r="F644" s="690"/>
      <c r="G644" s="690"/>
      <c r="H644" s="690"/>
      <c r="I644" s="163">
        <f>I643+I639+I635+I631</f>
        <v>82.15</v>
      </c>
      <c r="J644" s="433"/>
    </row>
    <row r="645" spans="2:10" s="434" customFormat="1" ht="30" customHeight="1">
      <c r="B645" s="716" t="s">
        <v>77</v>
      </c>
      <c r="C645" s="717"/>
      <c r="D645" s="717"/>
      <c r="E645" s="717"/>
      <c r="F645" s="717"/>
      <c r="G645" s="717"/>
      <c r="H645" s="717"/>
      <c r="I645" s="100">
        <f>I644/C644</f>
        <v>82.15</v>
      </c>
      <c r="J645" s="433"/>
    </row>
    <row r="646" spans="2:10" s="434" customFormat="1" ht="30" customHeight="1">
      <c r="B646" s="101" t="s">
        <v>113</v>
      </c>
      <c r="C646" s="129">
        <v>25</v>
      </c>
      <c r="D646" s="720" t="s">
        <v>5</v>
      </c>
      <c r="E646" s="720"/>
      <c r="F646" s="720"/>
      <c r="G646" s="720"/>
      <c r="H646" s="720"/>
      <c r="I646" s="102">
        <f>C646/100*I645</f>
        <v>20.54</v>
      </c>
      <c r="J646" s="433"/>
    </row>
    <row r="647" spans="2:10" s="434" customFormat="1" ht="30" customHeight="1" thickBot="1">
      <c r="B647" s="702" t="s">
        <v>64</v>
      </c>
      <c r="C647" s="703"/>
      <c r="D647" s="703"/>
      <c r="E647" s="703"/>
      <c r="F647" s="703"/>
      <c r="G647" s="703"/>
      <c r="H647" s="703"/>
      <c r="I647" s="188">
        <f>I646+I645</f>
        <v>102.69</v>
      </c>
      <c r="J647" s="433"/>
    </row>
    <row r="648" spans="2:10" s="434" customFormat="1">
      <c r="B648" s="91"/>
      <c r="C648" s="94"/>
      <c r="D648" s="178"/>
      <c r="E648" s="91"/>
      <c r="F648" s="91"/>
      <c r="G648" s="91"/>
      <c r="H648" s="91"/>
      <c r="I648" s="95"/>
      <c r="J648" s="433"/>
    </row>
    <row r="649" spans="2:10" s="434" customFormat="1">
      <c r="B649" s="91"/>
      <c r="C649" s="94"/>
      <c r="D649" s="178"/>
      <c r="E649" s="91"/>
      <c r="F649" s="91"/>
      <c r="G649" s="91"/>
      <c r="H649" s="91"/>
      <c r="I649" s="95"/>
      <c r="J649" s="433"/>
    </row>
    <row r="650" spans="2:10" s="434" customFormat="1" ht="13.5" thickBot="1">
      <c r="B650" s="91"/>
      <c r="C650" s="94"/>
      <c r="D650" s="178"/>
      <c r="E650" s="91"/>
      <c r="F650" s="91"/>
      <c r="G650" s="91"/>
      <c r="H650" s="91"/>
      <c r="I650" s="95"/>
      <c r="J650" s="433"/>
    </row>
    <row r="651" spans="2:10" s="434" customFormat="1" ht="30" customHeight="1" thickBot="1">
      <c r="B651" s="484" t="s">
        <v>43</v>
      </c>
      <c r="C651" s="486" t="s">
        <v>385</v>
      </c>
      <c r="D651" s="709" t="s">
        <v>45</v>
      </c>
      <c r="E651" s="710"/>
      <c r="F651" s="710"/>
      <c r="G651" s="710"/>
      <c r="H651" s="710"/>
      <c r="I651" s="711"/>
      <c r="J651" s="433"/>
    </row>
    <row r="652" spans="2:10" s="434" customFormat="1" ht="30" customHeight="1">
      <c r="B652" s="712" t="s">
        <v>704</v>
      </c>
      <c r="C652" s="713"/>
      <c r="D652" s="713"/>
      <c r="E652" s="713"/>
      <c r="F652" s="713"/>
      <c r="G652" s="714"/>
      <c r="H652" s="699" t="s">
        <v>705</v>
      </c>
      <c r="I652" s="700"/>
      <c r="J652" s="433"/>
    </row>
    <row r="653" spans="2:10" s="434" customFormat="1" ht="30" customHeight="1">
      <c r="B653" s="706" t="s">
        <v>595</v>
      </c>
      <c r="C653" s="707"/>
      <c r="D653" s="707"/>
      <c r="E653" s="707"/>
      <c r="F653" s="707"/>
      <c r="G653" s="707"/>
      <c r="H653" s="480" t="s">
        <v>66</v>
      </c>
      <c r="I653" s="184" t="s">
        <v>80</v>
      </c>
      <c r="J653" s="433"/>
    </row>
    <row r="654" spans="2:10" s="434" customFormat="1" ht="30" customHeight="1">
      <c r="B654" s="691" t="s">
        <v>46</v>
      </c>
      <c r="C654" s="692"/>
      <c r="D654" s="692"/>
      <c r="E654" s="692"/>
      <c r="F654" s="692"/>
      <c r="G654" s="692"/>
      <c r="H654" s="708"/>
      <c r="I654" s="693"/>
      <c r="J654" s="433"/>
    </row>
    <row r="655" spans="2:10" s="434" customFormat="1" ht="30" customHeight="1">
      <c r="B655" s="185" t="s">
        <v>57</v>
      </c>
      <c r="C655" s="115" t="s">
        <v>68</v>
      </c>
      <c r="D655" s="116" t="s">
        <v>48</v>
      </c>
      <c r="E655" s="116" t="s">
        <v>49</v>
      </c>
      <c r="F655" s="116" t="s">
        <v>50</v>
      </c>
      <c r="G655" s="117" t="s">
        <v>51</v>
      </c>
      <c r="H655" s="117" t="s">
        <v>52</v>
      </c>
      <c r="I655" s="186" t="s">
        <v>53</v>
      </c>
      <c r="J655" s="433"/>
    </row>
    <row r="656" spans="2:10" s="434" customFormat="1" ht="30" customHeight="1">
      <c r="B656" s="119"/>
      <c r="C656" s="179"/>
      <c r="D656" s="180"/>
      <c r="E656" s="114"/>
      <c r="F656" s="114"/>
      <c r="G656" s="55"/>
      <c r="H656" s="55"/>
      <c r="I656" s="100">
        <f>D656*H656</f>
        <v>0</v>
      </c>
      <c r="J656" s="433"/>
    </row>
    <row r="657" spans="2:10" s="434" customFormat="1" ht="30" customHeight="1">
      <c r="B657" s="704"/>
      <c r="C657" s="705"/>
      <c r="D657" s="705"/>
      <c r="E657" s="705"/>
      <c r="F657" s="705"/>
      <c r="G657" s="705"/>
      <c r="H657" s="705"/>
      <c r="I657" s="163">
        <f>SUM(I656:I656)</f>
        <v>0</v>
      </c>
      <c r="J657" s="433"/>
    </row>
    <row r="658" spans="2:10" ht="15.75">
      <c r="B658" s="691" t="s">
        <v>56</v>
      </c>
      <c r="C658" s="692"/>
      <c r="D658" s="692"/>
      <c r="E658" s="692"/>
      <c r="F658" s="692"/>
      <c r="G658" s="692"/>
      <c r="H658" s="692"/>
      <c r="I658" s="693"/>
    </row>
    <row r="659" spans="2:10">
      <c r="B659" s="447" t="s">
        <v>57</v>
      </c>
      <c r="C659" s="53" t="s">
        <v>68</v>
      </c>
      <c r="D659" s="177" t="s">
        <v>48</v>
      </c>
      <c r="E659" s="118"/>
      <c r="F659" s="118"/>
      <c r="G659" s="118"/>
      <c r="H659" s="58" t="s">
        <v>58</v>
      </c>
      <c r="I659" s="187" t="s">
        <v>53</v>
      </c>
    </row>
    <row r="660" spans="2:10">
      <c r="B660" s="348" t="s">
        <v>386</v>
      </c>
      <c r="C660" s="337" t="s">
        <v>71</v>
      </c>
      <c r="D660" s="390">
        <v>0.28999999999999998</v>
      </c>
      <c r="E660" s="118"/>
      <c r="F660" s="118"/>
      <c r="G660" s="118"/>
      <c r="H660" s="53">
        <f>Insumos!D90</f>
        <v>5.26</v>
      </c>
      <c r="I660" s="100">
        <f>D660*H660</f>
        <v>1.53</v>
      </c>
    </row>
    <row r="661" spans="2:10">
      <c r="B661" s="348" t="s">
        <v>391</v>
      </c>
      <c r="C661" s="337" t="s">
        <v>71</v>
      </c>
      <c r="D661" s="390">
        <v>0.17</v>
      </c>
      <c r="E661" s="118"/>
      <c r="F661" s="118"/>
      <c r="G661" s="118"/>
      <c r="H661" s="53">
        <f>Insumos!D46</f>
        <v>4.62</v>
      </c>
      <c r="I661" s="100">
        <f>D661*H661</f>
        <v>0.79</v>
      </c>
    </row>
    <row r="662" spans="2:10">
      <c r="B662" s="348" t="s">
        <v>387</v>
      </c>
      <c r="C662" s="337" t="s">
        <v>80</v>
      </c>
      <c r="D662" s="390">
        <v>1</v>
      </c>
      <c r="E662" s="118"/>
      <c r="F662" s="118"/>
      <c r="G662" s="118"/>
      <c r="H662" s="53">
        <f>Insumos!D62</f>
        <v>27.86</v>
      </c>
      <c r="I662" s="100">
        <f>D662*H662</f>
        <v>27.86</v>
      </c>
    </row>
    <row r="663" spans="2:10">
      <c r="B663" s="348" t="s">
        <v>290</v>
      </c>
      <c r="C663" s="337" t="s">
        <v>74</v>
      </c>
      <c r="D663" s="390">
        <v>0.03</v>
      </c>
      <c r="E663" s="118"/>
      <c r="F663" s="118"/>
      <c r="G663" s="118"/>
      <c r="H663" s="53">
        <f>Insumos!D55</f>
        <v>7</v>
      </c>
      <c r="I663" s="100">
        <f>D663*H663</f>
        <v>0.21</v>
      </c>
    </row>
    <row r="664" spans="2:10" ht="30" customHeight="1">
      <c r="B664" s="348" t="s">
        <v>392</v>
      </c>
      <c r="C664" s="337" t="s">
        <v>74</v>
      </c>
      <c r="D664" s="390">
        <v>0.47099999999999997</v>
      </c>
      <c r="E664" s="118"/>
      <c r="F664" s="118"/>
      <c r="G664" s="118"/>
      <c r="H664" s="53">
        <f>Insumos!D130</f>
        <v>3.77</v>
      </c>
      <c r="I664" s="100">
        <f>D664*H664</f>
        <v>1.78</v>
      </c>
    </row>
    <row r="665" spans="2:10" ht="30" customHeight="1">
      <c r="B665" s="689" t="s">
        <v>55</v>
      </c>
      <c r="C665" s="690"/>
      <c r="D665" s="690"/>
      <c r="E665" s="690"/>
      <c r="F665" s="690"/>
      <c r="G665" s="690"/>
      <c r="H665" s="690"/>
      <c r="I665" s="100">
        <f>SUM(I660:I664)</f>
        <v>32.17</v>
      </c>
    </row>
    <row r="666" spans="2:10" ht="30" customHeight="1">
      <c r="B666" s="691" t="s">
        <v>60</v>
      </c>
      <c r="C666" s="692"/>
      <c r="D666" s="692"/>
      <c r="E666" s="692"/>
      <c r="F666" s="692"/>
      <c r="G666" s="692"/>
      <c r="H666" s="692"/>
      <c r="I666" s="693"/>
    </row>
    <row r="667" spans="2:10" ht="30" customHeight="1">
      <c r="B667" s="182" t="s">
        <v>57</v>
      </c>
      <c r="C667" s="53" t="s">
        <v>68</v>
      </c>
      <c r="D667" s="58" t="s">
        <v>48</v>
      </c>
      <c r="E667" s="52"/>
      <c r="F667" s="52"/>
      <c r="G667" s="52"/>
      <c r="H667" s="58" t="s">
        <v>58</v>
      </c>
      <c r="I667" s="187" t="s">
        <v>53</v>
      </c>
    </row>
    <row r="668" spans="2:10" s="434" customFormat="1" ht="30" customHeight="1">
      <c r="B668" s="348" t="s">
        <v>596</v>
      </c>
      <c r="C668" s="337" t="s">
        <v>87</v>
      </c>
      <c r="D668" s="530">
        <v>4.2999999999999997E-2</v>
      </c>
      <c r="E668" s="52"/>
      <c r="F668" s="52"/>
      <c r="G668" s="52"/>
      <c r="H668" s="53">
        <f>I708</f>
        <v>358.25</v>
      </c>
      <c r="I668" s="100">
        <f>D668*H668</f>
        <v>15.4</v>
      </c>
      <c r="J668" s="433"/>
    </row>
    <row r="669" spans="2:10" s="434" customFormat="1" ht="30" customHeight="1">
      <c r="B669" s="689" t="s">
        <v>55</v>
      </c>
      <c r="C669" s="690"/>
      <c r="D669" s="690"/>
      <c r="E669" s="690"/>
      <c r="F669" s="690"/>
      <c r="G669" s="690"/>
      <c r="H669" s="690"/>
      <c r="I669" s="100">
        <f>SUM(I668:I668)</f>
        <v>15.4</v>
      </c>
      <c r="J669" s="433"/>
    </row>
    <row r="670" spans="2:10" s="434" customFormat="1" ht="30" customHeight="1">
      <c r="B670" s="691" t="s">
        <v>61</v>
      </c>
      <c r="C670" s="692"/>
      <c r="D670" s="692"/>
      <c r="E670" s="692"/>
      <c r="F670" s="692"/>
      <c r="G670" s="692"/>
      <c r="H670" s="692"/>
      <c r="I670" s="693"/>
      <c r="J670" s="433"/>
    </row>
    <row r="671" spans="2:10" s="434" customFormat="1" ht="30" customHeight="1">
      <c r="B671" s="447" t="s">
        <v>57</v>
      </c>
      <c r="C671" s="53" t="s">
        <v>68</v>
      </c>
      <c r="D671" s="177" t="s">
        <v>48</v>
      </c>
      <c r="E671" s="118"/>
      <c r="F671" s="118"/>
      <c r="G671" s="118"/>
      <c r="H671" s="58" t="s">
        <v>58</v>
      </c>
      <c r="I671" s="187" t="s">
        <v>53</v>
      </c>
      <c r="J671" s="433"/>
    </row>
    <row r="672" spans="2:10" s="455" customFormat="1" ht="30" customHeight="1">
      <c r="B672" s="533" t="s">
        <v>104</v>
      </c>
      <c r="C672" s="337" t="s">
        <v>54</v>
      </c>
      <c r="D672" s="390">
        <v>0.4</v>
      </c>
      <c r="E672" s="58"/>
      <c r="F672" s="118"/>
      <c r="G672" s="118"/>
      <c r="H672" s="53">
        <f>Insumos!D16</f>
        <v>8.69</v>
      </c>
      <c r="I672" s="100">
        <f>H672*D672</f>
        <v>3.48</v>
      </c>
      <c r="J672" s="454"/>
    </row>
    <row r="673" spans="2:10" s="434" customFormat="1" ht="30" customHeight="1">
      <c r="B673" s="520" t="s">
        <v>76</v>
      </c>
      <c r="C673" s="337" t="s">
        <v>54</v>
      </c>
      <c r="D673" s="390">
        <v>0.44</v>
      </c>
      <c r="E673" s="58"/>
      <c r="F673" s="118"/>
      <c r="G673" s="118"/>
      <c r="H673" s="53">
        <f>Insumos!D24</f>
        <v>6.53</v>
      </c>
      <c r="I673" s="100">
        <f>H673*D673</f>
        <v>2.87</v>
      </c>
      <c r="J673" s="433"/>
    </row>
    <row r="674" spans="2:10" s="434" customFormat="1" ht="30" customHeight="1">
      <c r="B674" s="520" t="s">
        <v>75</v>
      </c>
      <c r="C674" s="337" t="s">
        <v>54</v>
      </c>
      <c r="D674" s="390">
        <v>0.16</v>
      </c>
      <c r="E674" s="58"/>
      <c r="F674" s="118"/>
      <c r="G674" s="118"/>
      <c r="H674" s="53">
        <v>3.67</v>
      </c>
      <c r="I674" s="100">
        <f>H674*D674</f>
        <v>0.59</v>
      </c>
      <c r="J674" s="433"/>
    </row>
    <row r="675" spans="2:10" s="434" customFormat="1" ht="30" customHeight="1">
      <c r="B675" s="520" t="s">
        <v>388</v>
      </c>
      <c r="C675" s="337" t="s">
        <v>54</v>
      </c>
      <c r="D675" s="390">
        <v>0.16</v>
      </c>
      <c r="E675" s="58"/>
      <c r="F675" s="118"/>
      <c r="G675" s="118"/>
      <c r="H675" s="53">
        <v>2.99</v>
      </c>
      <c r="I675" s="100">
        <f>H675*D675</f>
        <v>0.48</v>
      </c>
      <c r="J675" s="433"/>
    </row>
    <row r="676" spans="2:10" s="434" customFormat="1" ht="30" customHeight="1">
      <c r="B676" s="689" t="s">
        <v>55</v>
      </c>
      <c r="C676" s="690"/>
      <c r="D676" s="690"/>
      <c r="E676" s="690"/>
      <c r="F676" s="690"/>
      <c r="G676" s="690"/>
      <c r="H676" s="690"/>
      <c r="I676" s="163">
        <f>SUM(I672:I675)</f>
        <v>7.42</v>
      </c>
      <c r="J676" s="433"/>
    </row>
    <row r="677" spans="2:10" s="434" customFormat="1" ht="30" customHeight="1">
      <c r="B677" s="99" t="s">
        <v>62</v>
      </c>
      <c r="C677" s="54">
        <v>1</v>
      </c>
      <c r="D677" s="690" t="s">
        <v>63</v>
      </c>
      <c r="E677" s="690"/>
      <c r="F677" s="690"/>
      <c r="G677" s="690"/>
      <c r="H677" s="690"/>
      <c r="I677" s="163">
        <f>I676+I669+I665+I657</f>
        <v>54.99</v>
      </c>
      <c r="J677" s="433"/>
    </row>
    <row r="678" spans="2:10" s="434" customFormat="1" ht="30" customHeight="1">
      <c r="B678" s="716" t="s">
        <v>77</v>
      </c>
      <c r="C678" s="717"/>
      <c r="D678" s="717"/>
      <c r="E678" s="717"/>
      <c r="F678" s="717"/>
      <c r="G678" s="717"/>
      <c r="H678" s="717"/>
      <c r="I678" s="100">
        <f>I677/C677</f>
        <v>54.99</v>
      </c>
      <c r="J678" s="433"/>
    </row>
    <row r="679" spans="2:10" s="434" customFormat="1" ht="30" customHeight="1">
      <c r="B679" s="101" t="s">
        <v>113</v>
      </c>
      <c r="C679" s="129">
        <v>25</v>
      </c>
      <c r="D679" s="720" t="s">
        <v>5</v>
      </c>
      <c r="E679" s="720"/>
      <c r="F679" s="720"/>
      <c r="G679" s="720"/>
      <c r="H679" s="720"/>
      <c r="I679" s="102">
        <f>C679/100*I678</f>
        <v>13.75</v>
      </c>
      <c r="J679" s="433"/>
    </row>
    <row r="680" spans="2:10" s="434" customFormat="1" ht="30" customHeight="1" thickBot="1">
      <c r="B680" s="702" t="s">
        <v>64</v>
      </c>
      <c r="C680" s="703"/>
      <c r="D680" s="703"/>
      <c r="E680" s="703"/>
      <c r="F680" s="703"/>
      <c r="G680" s="703"/>
      <c r="H680" s="703"/>
      <c r="I680" s="188">
        <f>I679+I678</f>
        <v>68.739999999999995</v>
      </c>
      <c r="J680" s="433"/>
    </row>
    <row r="681" spans="2:10" s="434" customFormat="1">
      <c r="B681" s="91"/>
      <c r="C681" s="94"/>
      <c r="D681" s="178"/>
      <c r="E681" s="91"/>
      <c r="F681" s="91"/>
      <c r="G681" s="91"/>
      <c r="H681" s="91"/>
      <c r="I681" s="95"/>
      <c r="J681" s="433"/>
    </row>
    <row r="682" spans="2:10" s="434" customFormat="1">
      <c r="B682" s="91"/>
      <c r="C682" s="94"/>
      <c r="D682" s="178"/>
      <c r="E682" s="91"/>
      <c r="F682" s="91"/>
      <c r="G682" s="91"/>
      <c r="H682" s="91"/>
      <c r="I682" s="95"/>
      <c r="J682" s="433"/>
    </row>
    <row r="683" spans="2:10" s="434" customFormat="1" ht="13.5" thickBot="1">
      <c r="B683" s="91"/>
      <c r="C683" s="94"/>
      <c r="D683" s="178"/>
      <c r="E683" s="91"/>
      <c r="F683" s="91"/>
      <c r="G683" s="91"/>
      <c r="H683" s="91"/>
      <c r="I683" s="95"/>
      <c r="J683" s="433"/>
    </row>
    <row r="684" spans="2:10" s="434" customFormat="1" ht="30" customHeight="1" thickBot="1">
      <c r="B684" s="484" t="s">
        <v>43</v>
      </c>
      <c r="C684" s="486" t="s">
        <v>393</v>
      </c>
      <c r="D684" s="709" t="s">
        <v>45</v>
      </c>
      <c r="E684" s="710"/>
      <c r="F684" s="710"/>
      <c r="G684" s="710"/>
      <c r="H684" s="710"/>
      <c r="I684" s="711"/>
      <c r="J684" s="433"/>
    </row>
    <row r="685" spans="2:10" s="434" customFormat="1" ht="30" customHeight="1">
      <c r="B685" s="712" t="s">
        <v>704</v>
      </c>
      <c r="C685" s="713"/>
      <c r="D685" s="713"/>
      <c r="E685" s="713"/>
      <c r="F685" s="713"/>
      <c r="G685" s="714"/>
      <c r="H685" s="699" t="s">
        <v>705</v>
      </c>
      <c r="I685" s="700"/>
      <c r="J685" s="433"/>
    </row>
    <row r="686" spans="2:10" s="434" customFormat="1" ht="30" customHeight="1">
      <c r="B686" s="706" t="s">
        <v>597</v>
      </c>
      <c r="C686" s="707"/>
      <c r="D686" s="707"/>
      <c r="E686" s="707"/>
      <c r="F686" s="707"/>
      <c r="G686" s="707"/>
      <c r="H686" s="480" t="s">
        <v>66</v>
      </c>
      <c r="I686" s="184" t="s">
        <v>87</v>
      </c>
      <c r="J686" s="433"/>
    </row>
    <row r="687" spans="2:10" s="434" customFormat="1" ht="30" customHeight="1">
      <c r="B687" s="691" t="s">
        <v>46</v>
      </c>
      <c r="C687" s="692"/>
      <c r="D687" s="692"/>
      <c r="E687" s="692"/>
      <c r="F687" s="692"/>
      <c r="G687" s="692"/>
      <c r="H687" s="708"/>
      <c r="I687" s="693"/>
      <c r="J687" s="433"/>
    </row>
    <row r="688" spans="2:10" ht="25.5">
      <c r="B688" s="185" t="s">
        <v>57</v>
      </c>
      <c r="C688" s="115" t="s">
        <v>68</v>
      </c>
      <c r="D688" s="116" t="s">
        <v>48</v>
      </c>
      <c r="E688" s="116" t="s">
        <v>49</v>
      </c>
      <c r="F688" s="116" t="s">
        <v>50</v>
      </c>
      <c r="G688" s="117" t="s">
        <v>51</v>
      </c>
      <c r="H688" s="117" t="s">
        <v>52</v>
      </c>
      <c r="I688" s="186" t="s">
        <v>53</v>
      </c>
    </row>
    <row r="689" spans="2:10" ht="25.5">
      <c r="B689" s="374" t="s">
        <v>299</v>
      </c>
      <c r="C689" s="373" t="s">
        <v>54</v>
      </c>
      <c r="D689" s="136">
        <v>1.8</v>
      </c>
      <c r="E689" s="375"/>
      <c r="F689" s="375"/>
      <c r="G689" s="376"/>
      <c r="H689" s="376">
        <f>bet</f>
        <v>3.27</v>
      </c>
      <c r="I689" s="100">
        <f>D689*H689</f>
        <v>5.89</v>
      </c>
    </row>
    <row r="690" spans="2:10" ht="25.5">
      <c r="B690" s="223" t="s">
        <v>598</v>
      </c>
      <c r="C690" s="218" t="s">
        <v>54</v>
      </c>
      <c r="D690" s="377">
        <v>0.2</v>
      </c>
      <c r="E690" s="377"/>
      <c r="F690" s="377"/>
      <c r="G690" s="225"/>
      <c r="H690" s="225">
        <f>Insumos!D84</f>
        <v>0.77</v>
      </c>
      <c r="I690" s="100">
        <f>D690*H690</f>
        <v>0.15</v>
      </c>
    </row>
    <row r="691" spans="2:10">
      <c r="B691" s="704"/>
      <c r="C691" s="705"/>
      <c r="D691" s="705"/>
      <c r="E691" s="705"/>
      <c r="F691" s="705"/>
      <c r="G691" s="705"/>
      <c r="H691" s="705"/>
      <c r="I691" s="163">
        <f>SUM(I689:I690)</f>
        <v>6.04</v>
      </c>
    </row>
    <row r="692" spans="2:10" ht="30" customHeight="1">
      <c r="B692" s="691" t="s">
        <v>56</v>
      </c>
      <c r="C692" s="692"/>
      <c r="D692" s="692"/>
      <c r="E692" s="692"/>
      <c r="F692" s="692"/>
      <c r="G692" s="692"/>
      <c r="H692" s="692"/>
      <c r="I692" s="693"/>
    </row>
    <row r="693" spans="2:10" ht="30" customHeight="1">
      <c r="B693" s="447" t="s">
        <v>57</v>
      </c>
      <c r="C693" s="53" t="s">
        <v>68</v>
      </c>
      <c r="D693" s="177" t="s">
        <v>48</v>
      </c>
      <c r="E693" s="118"/>
      <c r="F693" s="118"/>
      <c r="G693" s="118"/>
      <c r="H693" s="58" t="s">
        <v>58</v>
      </c>
      <c r="I693" s="187" t="s">
        <v>53</v>
      </c>
    </row>
    <row r="694" spans="2:10" ht="30" customHeight="1">
      <c r="B694" s="212" t="s">
        <v>102</v>
      </c>
      <c r="C694" s="53" t="s">
        <v>74</v>
      </c>
      <c r="D694" s="177">
        <v>320</v>
      </c>
      <c r="E694" s="118"/>
      <c r="F694" s="118"/>
      <c r="G694" s="118"/>
      <c r="H694" s="53">
        <f>Insumos!D38</f>
        <v>0.5</v>
      </c>
      <c r="I694" s="100">
        <f>D694*H694</f>
        <v>160</v>
      </c>
    </row>
    <row r="695" spans="2:10" ht="30" customHeight="1">
      <c r="B695" s="212" t="s">
        <v>394</v>
      </c>
      <c r="C695" s="53" t="s">
        <v>87</v>
      </c>
      <c r="D695" s="177">
        <v>0.83</v>
      </c>
      <c r="E695" s="118"/>
      <c r="F695" s="118"/>
      <c r="G695" s="118"/>
      <c r="H695" s="53">
        <f>Insumos!D61</f>
        <v>68.13</v>
      </c>
      <c r="I695" s="100">
        <f>D695*H695</f>
        <v>56.55</v>
      </c>
    </row>
    <row r="696" spans="2:10" s="434" customFormat="1" ht="30" customHeight="1">
      <c r="B696" s="212" t="s">
        <v>175</v>
      </c>
      <c r="C696" s="53" t="s">
        <v>87</v>
      </c>
      <c r="D696" s="177">
        <v>0.89</v>
      </c>
      <c r="E696" s="118"/>
      <c r="F696" s="118"/>
      <c r="G696" s="118"/>
      <c r="H696" s="53">
        <f>Insumos!D43</f>
        <v>70</v>
      </c>
      <c r="I696" s="100">
        <f>D696*H696</f>
        <v>62.3</v>
      </c>
      <c r="J696" s="433"/>
    </row>
    <row r="697" spans="2:10" s="434" customFormat="1" ht="30" customHeight="1">
      <c r="B697" s="689" t="s">
        <v>55</v>
      </c>
      <c r="C697" s="690"/>
      <c r="D697" s="690"/>
      <c r="E697" s="690"/>
      <c r="F697" s="690"/>
      <c r="G697" s="690"/>
      <c r="H697" s="690"/>
      <c r="I697" s="100">
        <f>SUM(I694:I696)</f>
        <v>278.85000000000002</v>
      </c>
      <c r="J697" s="433"/>
    </row>
    <row r="698" spans="2:10" s="434" customFormat="1" ht="30" customHeight="1">
      <c r="B698" s="691" t="s">
        <v>60</v>
      </c>
      <c r="C698" s="692"/>
      <c r="D698" s="692"/>
      <c r="E698" s="692"/>
      <c r="F698" s="692"/>
      <c r="G698" s="692"/>
      <c r="H698" s="692"/>
      <c r="I698" s="693"/>
      <c r="J698" s="433"/>
    </row>
    <row r="699" spans="2:10" s="434" customFormat="1" ht="30" customHeight="1">
      <c r="B699" s="182" t="s">
        <v>57</v>
      </c>
      <c r="C699" s="53" t="s">
        <v>68</v>
      </c>
      <c r="D699" s="58" t="s">
        <v>48</v>
      </c>
      <c r="E699" s="52"/>
      <c r="F699" s="52"/>
      <c r="G699" s="52"/>
      <c r="H699" s="58" t="s">
        <v>58</v>
      </c>
      <c r="I699" s="187" t="s">
        <v>53</v>
      </c>
      <c r="J699" s="433"/>
    </row>
    <row r="700" spans="2:10" s="434" customFormat="1" ht="30" customHeight="1">
      <c r="B700" s="212"/>
      <c r="C700" s="53"/>
      <c r="D700" s="177"/>
      <c r="E700" s="52"/>
      <c r="F700" s="52"/>
      <c r="G700" s="52"/>
      <c r="H700" s="53"/>
      <c r="I700" s="100">
        <f>D700*H700</f>
        <v>0</v>
      </c>
      <c r="J700" s="433"/>
    </row>
    <row r="701" spans="2:10" s="434" customFormat="1" ht="30" customHeight="1">
      <c r="B701" s="689" t="s">
        <v>55</v>
      </c>
      <c r="C701" s="690"/>
      <c r="D701" s="690"/>
      <c r="E701" s="690"/>
      <c r="F701" s="690"/>
      <c r="G701" s="690"/>
      <c r="H701" s="690"/>
      <c r="I701" s="100">
        <f>SUM(I700:I700)</f>
        <v>0</v>
      </c>
      <c r="J701" s="433"/>
    </row>
    <row r="702" spans="2:10" s="434" customFormat="1" ht="30" customHeight="1">
      <c r="B702" s="691" t="s">
        <v>61</v>
      </c>
      <c r="C702" s="692"/>
      <c r="D702" s="692"/>
      <c r="E702" s="692"/>
      <c r="F702" s="692"/>
      <c r="G702" s="692"/>
      <c r="H702" s="692"/>
      <c r="I702" s="693"/>
      <c r="J702" s="433"/>
    </row>
    <row r="703" spans="2:10" s="434" customFormat="1" ht="30" customHeight="1">
      <c r="B703" s="447" t="s">
        <v>57</v>
      </c>
      <c r="C703" s="53" t="s">
        <v>68</v>
      </c>
      <c r="D703" s="177" t="s">
        <v>48</v>
      </c>
      <c r="E703" s="118"/>
      <c r="F703" s="118"/>
      <c r="G703" s="118"/>
      <c r="H703" s="58" t="s">
        <v>58</v>
      </c>
      <c r="I703" s="187" t="s">
        <v>53</v>
      </c>
      <c r="J703" s="433"/>
    </row>
    <row r="704" spans="2:10" s="434" customFormat="1" ht="30" customHeight="1">
      <c r="B704" s="212" t="s">
        <v>395</v>
      </c>
      <c r="C704" s="337" t="s">
        <v>54</v>
      </c>
      <c r="D704" s="180">
        <v>1.6</v>
      </c>
      <c r="E704" s="118"/>
      <c r="F704" s="118"/>
      <c r="G704" s="118"/>
      <c r="H704" s="55">
        <f>Insumos!D23</f>
        <v>15.96</v>
      </c>
      <c r="I704" s="100">
        <f>H704*D704</f>
        <v>25.54</v>
      </c>
      <c r="J704" s="433"/>
    </row>
    <row r="705" spans="2:10" s="434" customFormat="1" ht="30" customHeight="1">
      <c r="B705" s="531" t="s">
        <v>76</v>
      </c>
      <c r="C705" s="444" t="s">
        <v>54</v>
      </c>
      <c r="D705" s="451">
        <v>2</v>
      </c>
      <c r="E705" s="453"/>
      <c r="F705" s="452"/>
      <c r="G705" s="452"/>
      <c r="H705" s="450">
        <f>Insumos!D24</f>
        <v>6.53</v>
      </c>
      <c r="I705" s="100">
        <f>H705*D705</f>
        <v>13.06</v>
      </c>
      <c r="J705" s="433"/>
    </row>
    <row r="706" spans="2:10" s="434" customFormat="1" ht="30" customHeight="1">
      <c r="B706" s="513" t="s">
        <v>104</v>
      </c>
      <c r="C706" s="444" t="s">
        <v>54</v>
      </c>
      <c r="D706" s="532">
        <v>4</v>
      </c>
      <c r="E706" s="228"/>
      <c r="F706" s="503"/>
      <c r="G706" s="503"/>
      <c r="H706" s="218">
        <f>Insumos!D16</f>
        <v>8.69</v>
      </c>
      <c r="I706" s="100">
        <f>H706*D706</f>
        <v>34.76</v>
      </c>
      <c r="J706" s="433"/>
    </row>
    <row r="707" spans="2:10" s="434" customFormat="1" ht="30" customHeight="1">
      <c r="B707" s="689" t="s">
        <v>55</v>
      </c>
      <c r="C707" s="690"/>
      <c r="D707" s="690"/>
      <c r="E707" s="690"/>
      <c r="F707" s="690"/>
      <c r="G707" s="690"/>
      <c r="H707" s="690"/>
      <c r="I707" s="163">
        <f>SUM(I704:I706)</f>
        <v>73.36</v>
      </c>
      <c r="J707" s="433"/>
    </row>
    <row r="708" spans="2:10" s="434" customFormat="1" ht="30" customHeight="1">
      <c r="B708" s="99" t="s">
        <v>62</v>
      </c>
      <c r="C708" s="54">
        <v>1.04</v>
      </c>
      <c r="D708" s="690" t="s">
        <v>63</v>
      </c>
      <c r="E708" s="690"/>
      <c r="F708" s="690"/>
      <c r="G708" s="690"/>
      <c r="H708" s="690"/>
      <c r="I708" s="163">
        <f>I707+I701+I697+I691</f>
        <v>358.25</v>
      </c>
      <c r="J708" s="433"/>
    </row>
    <row r="709" spans="2:10" s="434" customFormat="1" ht="30" customHeight="1">
      <c r="B709" s="716" t="s">
        <v>77</v>
      </c>
      <c r="C709" s="717"/>
      <c r="D709" s="717"/>
      <c r="E709" s="717"/>
      <c r="F709" s="717"/>
      <c r="G709" s="717"/>
      <c r="H709" s="717"/>
      <c r="I709" s="100">
        <f>I708/C708</f>
        <v>344.47</v>
      </c>
      <c r="J709" s="433"/>
    </row>
    <row r="710" spans="2:10" s="434" customFormat="1" ht="30" customHeight="1">
      <c r="B710" s="101" t="s">
        <v>113</v>
      </c>
      <c r="C710" s="129">
        <v>25</v>
      </c>
      <c r="D710" s="720" t="s">
        <v>5</v>
      </c>
      <c r="E710" s="720"/>
      <c r="F710" s="720"/>
      <c r="G710" s="720"/>
      <c r="H710" s="720"/>
      <c r="I710" s="102">
        <f>C710/100*I709</f>
        <v>86.12</v>
      </c>
      <c r="J710" s="433"/>
    </row>
    <row r="711" spans="2:10" s="434" customFormat="1" ht="30" customHeight="1" thickBot="1">
      <c r="B711" s="702" t="s">
        <v>64</v>
      </c>
      <c r="C711" s="703"/>
      <c r="D711" s="703"/>
      <c r="E711" s="703"/>
      <c r="F711" s="703"/>
      <c r="G711" s="703"/>
      <c r="H711" s="703"/>
      <c r="I711" s="188">
        <f>I710+I709</f>
        <v>430.59</v>
      </c>
      <c r="J711" s="433"/>
    </row>
    <row r="712" spans="2:10" s="434" customFormat="1">
      <c r="B712" s="91"/>
      <c r="C712" s="94"/>
      <c r="D712" s="178"/>
      <c r="E712" s="91"/>
      <c r="F712" s="91"/>
      <c r="G712" s="91"/>
      <c r="H712" s="91"/>
      <c r="I712" s="95"/>
      <c r="J712" s="433"/>
    </row>
    <row r="713" spans="2:10" s="434" customFormat="1">
      <c r="B713" s="91"/>
      <c r="C713" s="94"/>
      <c r="D713" s="178"/>
      <c r="E713" s="91"/>
      <c r="F713" s="91"/>
      <c r="G713" s="91"/>
      <c r="H713" s="91"/>
      <c r="I713" s="95"/>
      <c r="J713" s="433"/>
    </row>
    <row r="714" spans="2:10" s="434" customFormat="1" ht="13.5" thickBot="1">
      <c r="B714" s="91"/>
      <c r="C714" s="94"/>
      <c r="D714" s="178"/>
      <c r="E714" s="91"/>
      <c r="F714" s="91"/>
      <c r="G714" s="91"/>
      <c r="H714" s="91"/>
      <c r="I714" s="95"/>
      <c r="J714" s="433"/>
    </row>
    <row r="715" spans="2:10" ht="16.5" thickBot="1">
      <c r="B715" s="484" t="s">
        <v>43</v>
      </c>
      <c r="C715" s="484" t="s">
        <v>401</v>
      </c>
      <c r="D715" s="709" t="s">
        <v>45</v>
      </c>
      <c r="E715" s="710"/>
      <c r="F715" s="710"/>
      <c r="G715" s="710"/>
      <c r="H715" s="710"/>
      <c r="I715" s="711"/>
    </row>
    <row r="716" spans="2:10">
      <c r="B716" s="712" t="s">
        <v>704</v>
      </c>
      <c r="C716" s="713"/>
      <c r="D716" s="713"/>
      <c r="E716" s="713"/>
      <c r="F716" s="713"/>
      <c r="G716" s="714"/>
      <c r="H716" s="699" t="s">
        <v>705</v>
      </c>
      <c r="I716" s="700"/>
    </row>
    <row r="717" spans="2:10" ht="30" customHeight="1">
      <c r="B717" s="706" t="s">
        <v>599</v>
      </c>
      <c r="C717" s="707"/>
      <c r="D717" s="707"/>
      <c r="E717" s="707"/>
      <c r="F717" s="707"/>
      <c r="G717" s="707"/>
      <c r="H717" s="480" t="s">
        <v>66</v>
      </c>
      <c r="I717" s="184" t="s">
        <v>80</v>
      </c>
    </row>
    <row r="718" spans="2:10" ht="30" customHeight="1">
      <c r="B718" s="691" t="s">
        <v>46</v>
      </c>
      <c r="C718" s="692"/>
      <c r="D718" s="692"/>
      <c r="E718" s="692"/>
      <c r="F718" s="692"/>
      <c r="G718" s="692"/>
      <c r="H718" s="708"/>
      <c r="I718" s="693"/>
    </row>
    <row r="719" spans="2:10" ht="30" customHeight="1">
      <c r="B719" s="185" t="s">
        <v>57</v>
      </c>
      <c r="C719" s="115" t="s">
        <v>68</v>
      </c>
      <c r="D719" s="116" t="s">
        <v>48</v>
      </c>
      <c r="E719" s="116" t="s">
        <v>49</v>
      </c>
      <c r="F719" s="116" t="s">
        <v>50</v>
      </c>
      <c r="G719" s="117" t="s">
        <v>51</v>
      </c>
      <c r="H719" s="117" t="s">
        <v>52</v>
      </c>
      <c r="I719" s="186" t="s">
        <v>53</v>
      </c>
    </row>
    <row r="720" spans="2:10" ht="30" customHeight="1">
      <c r="B720" s="189"/>
      <c r="C720" s="179"/>
      <c r="D720" s="180"/>
      <c r="E720" s="114"/>
      <c r="F720" s="114"/>
      <c r="G720" s="55"/>
      <c r="H720" s="55"/>
      <c r="I720" s="100">
        <f>D720*H720</f>
        <v>0</v>
      </c>
    </row>
    <row r="721" spans="2:10">
      <c r="B721" s="704"/>
      <c r="C721" s="705"/>
      <c r="D721" s="705"/>
      <c r="E721" s="705"/>
      <c r="F721" s="705"/>
      <c r="G721" s="705"/>
      <c r="H721" s="705"/>
      <c r="I721" s="163">
        <f>SUM(I720:I720)</f>
        <v>0</v>
      </c>
    </row>
    <row r="722" spans="2:10" s="434" customFormat="1" ht="30" customHeight="1">
      <c r="B722" s="691" t="s">
        <v>56</v>
      </c>
      <c r="C722" s="692"/>
      <c r="D722" s="692"/>
      <c r="E722" s="692"/>
      <c r="F722" s="692"/>
      <c r="G722" s="692"/>
      <c r="H722" s="692"/>
      <c r="I722" s="693"/>
      <c r="J722" s="433"/>
    </row>
    <row r="723" spans="2:10" s="434" customFormat="1" ht="30" customHeight="1">
      <c r="B723" s="447" t="s">
        <v>57</v>
      </c>
      <c r="C723" s="53" t="s">
        <v>68</v>
      </c>
      <c r="D723" s="177" t="s">
        <v>48</v>
      </c>
      <c r="E723" s="177"/>
      <c r="F723" s="177"/>
      <c r="G723" s="177"/>
      <c r="H723" s="58" t="s">
        <v>58</v>
      </c>
      <c r="I723" s="187" t="s">
        <v>53</v>
      </c>
      <c r="J723" s="433"/>
    </row>
    <row r="724" spans="2:10" s="434" customFormat="1" ht="30" customHeight="1">
      <c r="B724" s="529" t="s">
        <v>600</v>
      </c>
      <c r="C724" s="337" t="s">
        <v>92</v>
      </c>
      <c r="D724" s="390">
        <v>0.24</v>
      </c>
      <c r="E724" s="118"/>
      <c r="F724" s="118"/>
      <c r="G724" s="118"/>
      <c r="H724" s="53">
        <f>Insumos!D77</f>
        <v>16</v>
      </c>
      <c r="I724" s="100">
        <f>D724*H724</f>
        <v>3.84</v>
      </c>
      <c r="J724" s="433"/>
    </row>
    <row r="725" spans="2:10" s="434" customFormat="1" ht="30" customHeight="1">
      <c r="B725" s="529" t="s">
        <v>396</v>
      </c>
      <c r="C725" s="337" t="s">
        <v>74</v>
      </c>
      <c r="D725" s="390">
        <v>0.4</v>
      </c>
      <c r="E725" s="118"/>
      <c r="F725" s="118"/>
      <c r="G725" s="118"/>
      <c r="H725" s="53">
        <f>Insumos!D80</f>
        <v>0.28000000000000003</v>
      </c>
      <c r="I725" s="100">
        <f>D725*H725</f>
        <v>0.11</v>
      </c>
      <c r="J725" s="433"/>
    </row>
    <row r="726" spans="2:10" s="434" customFormat="1" ht="30" customHeight="1">
      <c r="B726" s="689" t="s">
        <v>55</v>
      </c>
      <c r="C726" s="690"/>
      <c r="D726" s="690"/>
      <c r="E726" s="690"/>
      <c r="F726" s="690"/>
      <c r="G726" s="690"/>
      <c r="H726" s="690"/>
      <c r="I726" s="100">
        <f>SUM(I724:I725)</f>
        <v>3.95</v>
      </c>
      <c r="J726" s="433"/>
    </row>
    <row r="727" spans="2:10" s="434" customFormat="1" ht="30" customHeight="1">
      <c r="B727" s="691" t="s">
        <v>60</v>
      </c>
      <c r="C727" s="692"/>
      <c r="D727" s="692"/>
      <c r="E727" s="692"/>
      <c r="F727" s="692"/>
      <c r="G727" s="692"/>
      <c r="H727" s="692"/>
      <c r="I727" s="693"/>
      <c r="J727" s="433"/>
    </row>
    <row r="728" spans="2:10" s="434" customFormat="1" ht="30" customHeight="1">
      <c r="B728" s="182" t="s">
        <v>57</v>
      </c>
      <c r="C728" s="53" t="s">
        <v>68</v>
      </c>
      <c r="D728" s="58" t="s">
        <v>48</v>
      </c>
      <c r="E728" s="52"/>
      <c r="F728" s="52"/>
      <c r="G728" s="52"/>
      <c r="H728" s="58" t="s">
        <v>58</v>
      </c>
      <c r="I728" s="187" t="s">
        <v>53</v>
      </c>
      <c r="J728" s="433"/>
    </row>
    <row r="729" spans="2:10" s="434" customFormat="1" ht="30" customHeight="1">
      <c r="B729" s="520"/>
      <c r="C729" s="337"/>
      <c r="D729" s="521"/>
      <c r="E729" s="52"/>
      <c r="F729" s="52"/>
      <c r="G729" s="52"/>
      <c r="H729" s="53"/>
      <c r="I729" s="100">
        <f>D729*H729</f>
        <v>0</v>
      </c>
      <c r="J729" s="433"/>
    </row>
    <row r="730" spans="2:10" s="434" customFormat="1" ht="30" customHeight="1">
      <c r="B730" s="689" t="s">
        <v>55</v>
      </c>
      <c r="C730" s="690"/>
      <c r="D730" s="690"/>
      <c r="E730" s="690"/>
      <c r="F730" s="690"/>
      <c r="G730" s="690"/>
      <c r="H730" s="690"/>
      <c r="I730" s="100">
        <f>SUM(I729:I729)</f>
        <v>0</v>
      </c>
      <c r="J730" s="433"/>
    </row>
    <row r="731" spans="2:10" s="434" customFormat="1" ht="30" customHeight="1">
      <c r="B731" s="691" t="s">
        <v>61</v>
      </c>
      <c r="C731" s="692"/>
      <c r="D731" s="692"/>
      <c r="E731" s="692"/>
      <c r="F731" s="692"/>
      <c r="G731" s="692"/>
      <c r="H731" s="692"/>
      <c r="I731" s="693"/>
      <c r="J731" s="433"/>
    </row>
    <row r="732" spans="2:10" s="434" customFormat="1" ht="30" customHeight="1">
      <c r="B732" s="447" t="s">
        <v>57</v>
      </c>
      <c r="C732" s="53" t="s">
        <v>68</v>
      </c>
      <c r="D732" s="177" t="s">
        <v>48</v>
      </c>
      <c r="E732" s="118"/>
      <c r="F732" s="118"/>
      <c r="G732" s="118"/>
      <c r="H732" s="58" t="s">
        <v>58</v>
      </c>
      <c r="I732" s="187" t="s">
        <v>53</v>
      </c>
      <c r="J732" s="433"/>
    </row>
    <row r="733" spans="2:10" s="434" customFormat="1" ht="30" customHeight="1">
      <c r="B733" s="212" t="s">
        <v>114</v>
      </c>
      <c r="C733" s="337" t="s">
        <v>54</v>
      </c>
      <c r="D733" s="390">
        <v>0.45</v>
      </c>
      <c r="E733" s="118"/>
      <c r="F733" s="118"/>
      <c r="G733" s="118"/>
      <c r="H733" s="55">
        <f>Insumos!D17</f>
        <v>8.69</v>
      </c>
      <c r="I733" s="100">
        <f>H733*D733</f>
        <v>3.91</v>
      </c>
      <c r="J733" s="433"/>
    </row>
    <row r="734" spans="2:10" s="434" customFormat="1" ht="30" customHeight="1">
      <c r="B734" s="212" t="s">
        <v>115</v>
      </c>
      <c r="C734" s="337" t="s">
        <v>54</v>
      </c>
      <c r="D734" s="390">
        <v>0.4</v>
      </c>
      <c r="E734" s="118"/>
      <c r="F734" s="118"/>
      <c r="G734" s="118"/>
      <c r="H734" s="55">
        <f>Insumos!D24</f>
        <v>6.53</v>
      </c>
      <c r="I734" s="100">
        <f>H734*D734</f>
        <v>2.61</v>
      </c>
      <c r="J734" s="433"/>
    </row>
    <row r="735" spans="2:10" s="434" customFormat="1" ht="30" customHeight="1">
      <c r="B735" s="689" t="s">
        <v>55</v>
      </c>
      <c r="C735" s="690"/>
      <c r="D735" s="690"/>
      <c r="E735" s="690"/>
      <c r="F735" s="690"/>
      <c r="G735" s="690"/>
      <c r="H735" s="690"/>
      <c r="I735" s="163">
        <f>SUM(I733:I734)</f>
        <v>6.52</v>
      </c>
      <c r="J735" s="433"/>
    </row>
    <row r="736" spans="2:10" s="434" customFormat="1" ht="30" customHeight="1">
      <c r="B736" s="99" t="s">
        <v>62</v>
      </c>
      <c r="C736" s="54">
        <v>1</v>
      </c>
      <c r="D736" s="690" t="s">
        <v>63</v>
      </c>
      <c r="E736" s="690"/>
      <c r="F736" s="690"/>
      <c r="G736" s="690"/>
      <c r="H736" s="690"/>
      <c r="I736" s="163">
        <f>I735+I730+I726+I721</f>
        <v>10.47</v>
      </c>
      <c r="J736" s="433"/>
    </row>
    <row r="737" spans="2:10" s="434" customFormat="1" ht="30" customHeight="1">
      <c r="B737" s="716" t="s">
        <v>77</v>
      </c>
      <c r="C737" s="717"/>
      <c r="D737" s="717"/>
      <c r="E737" s="717"/>
      <c r="F737" s="717"/>
      <c r="G737" s="717"/>
      <c r="H737" s="717"/>
      <c r="I737" s="100">
        <f>I736/C736</f>
        <v>10.47</v>
      </c>
      <c r="J737" s="433"/>
    </row>
    <row r="738" spans="2:10" s="434" customFormat="1" ht="30" customHeight="1">
      <c r="B738" s="101" t="s">
        <v>113</v>
      </c>
      <c r="C738" s="129">
        <v>25</v>
      </c>
      <c r="D738" s="720" t="s">
        <v>5</v>
      </c>
      <c r="E738" s="720"/>
      <c r="F738" s="720"/>
      <c r="G738" s="720"/>
      <c r="H738" s="720"/>
      <c r="I738" s="102">
        <f>C738/100*I737</f>
        <v>2.62</v>
      </c>
      <c r="J738" s="433"/>
    </row>
    <row r="739" spans="2:10" s="434" customFormat="1" ht="30" customHeight="1" thickBot="1">
      <c r="B739" s="702" t="s">
        <v>64</v>
      </c>
      <c r="C739" s="703"/>
      <c r="D739" s="703"/>
      <c r="E739" s="703"/>
      <c r="F739" s="703"/>
      <c r="G739" s="703"/>
      <c r="H739" s="703"/>
      <c r="I739" s="188">
        <f>I738+I737</f>
        <v>13.09</v>
      </c>
      <c r="J739" s="433"/>
    </row>
    <row r="740" spans="2:10" s="434" customFormat="1">
      <c r="B740" s="91"/>
      <c r="C740" s="94"/>
      <c r="D740" s="178"/>
      <c r="E740" s="91"/>
      <c r="F740" s="91"/>
      <c r="G740" s="91"/>
      <c r="H740" s="91"/>
      <c r="I740" s="95"/>
      <c r="J740" s="433"/>
    </row>
    <row r="741" spans="2:10" s="434" customFormat="1">
      <c r="B741" s="91"/>
      <c r="C741" s="94"/>
      <c r="D741" s="178"/>
      <c r="E741" s="91"/>
      <c r="F741" s="91"/>
      <c r="G741" s="91"/>
      <c r="H741" s="91"/>
      <c r="I741" s="95"/>
      <c r="J741" s="433"/>
    </row>
    <row r="742" spans="2:10" s="434" customFormat="1" ht="13.5" thickBot="1">
      <c r="B742" s="91"/>
      <c r="C742" s="94"/>
      <c r="D742" s="178"/>
      <c r="E742" s="91"/>
      <c r="F742" s="91"/>
      <c r="G742" s="91"/>
      <c r="H742" s="91"/>
      <c r="I742" s="95"/>
      <c r="J742" s="433"/>
    </row>
    <row r="743" spans="2:10" ht="16.5" thickBot="1">
      <c r="B743" s="484" t="s">
        <v>43</v>
      </c>
      <c r="C743" s="484" t="s">
        <v>405</v>
      </c>
      <c r="D743" s="709" t="s">
        <v>45</v>
      </c>
      <c r="E743" s="710"/>
      <c r="F743" s="710"/>
      <c r="G743" s="710"/>
      <c r="H743" s="710"/>
      <c r="I743" s="711"/>
    </row>
    <row r="744" spans="2:10">
      <c r="B744" s="712" t="s">
        <v>704</v>
      </c>
      <c r="C744" s="713"/>
      <c r="D744" s="713"/>
      <c r="E744" s="713"/>
      <c r="F744" s="713"/>
      <c r="G744" s="714"/>
      <c r="H744" s="701" t="s">
        <v>705</v>
      </c>
      <c r="I744" s="700"/>
    </row>
    <row r="745" spans="2:10">
      <c r="B745" s="706" t="s">
        <v>403</v>
      </c>
      <c r="C745" s="707"/>
      <c r="D745" s="707"/>
      <c r="E745" s="707"/>
      <c r="F745" s="707"/>
      <c r="G745" s="715"/>
      <c r="H745" s="57" t="s">
        <v>66</v>
      </c>
      <c r="I745" s="218" t="s">
        <v>71</v>
      </c>
    </row>
    <row r="746" spans="2:10" ht="30" customHeight="1">
      <c r="B746" s="691" t="s">
        <v>46</v>
      </c>
      <c r="C746" s="692"/>
      <c r="D746" s="692"/>
      <c r="E746" s="692"/>
      <c r="F746" s="692"/>
      <c r="G746" s="692"/>
      <c r="H746" s="692"/>
      <c r="I746" s="721"/>
    </row>
    <row r="747" spans="2:10" ht="30" customHeight="1">
      <c r="B747" s="185" t="s">
        <v>57</v>
      </c>
      <c r="C747" s="115" t="s">
        <v>68</v>
      </c>
      <c r="D747" s="116" t="s">
        <v>48</v>
      </c>
      <c r="E747" s="116" t="s">
        <v>49</v>
      </c>
      <c r="F747" s="116" t="s">
        <v>50</v>
      </c>
      <c r="G747" s="117" t="s">
        <v>51</v>
      </c>
      <c r="H747" s="117" t="s">
        <v>52</v>
      </c>
      <c r="I747" s="186" t="s">
        <v>53</v>
      </c>
    </row>
    <row r="748" spans="2:10" ht="30" customHeight="1">
      <c r="B748" s="189"/>
      <c r="C748" s="179"/>
      <c r="D748" s="180"/>
      <c r="E748" s="114"/>
      <c r="F748" s="114"/>
      <c r="G748" s="55"/>
      <c r="H748" s="55"/>
      <c r="I748" s="100">
        <f>D748*H748</f>
        <v>0</v>
      </c>
    </row>
    <row r="749" spans="2:10" ht="30" customHeight="1">
      <c r="B749" s="704"/>
      <c r="C749" s="705"/>
      <c r="D749" s="705"/>
      <c r="E749" s="705"/>
      <c r="F749" s="705"/>
      <c r="G749" s="705"/>
      <c r="H749" s="705"/>
      <c r="I749" s="163">
        <f>SUM(I748:I748)</f>
        <v>0</v>
      </c>
    </row>
    <row r="750" spans="2:10" s="434" customFormat="1" ht="30" customHeight="1">
      <c r="B750" s="691" t="s">
        <v>56</v>
      </c>
      <c r="C750" s="692"/>
      <c r="D750" s="692"/>
      <c r="E750" s="692"/>
      <c r="F750" s="692"/>
      <c r="G750" s="692"/>
      <c r="H750" s="692"/>
      <c r="I750" s="693"/>
      <c r="J750" s="433"/>
    </row>
    <row r="751" spans="2:10" s="434" customFormat="1" ht="30" customHeight="1">
      <c r="B751" s="447" t="s">
        <v>57</v>
      </c>
      <c r="C751" s="53" t="s">
        <v>68</v>
      </c>
      <c r="D751" s="177" t="s">
        <v>48</v>
      </c>
      <c r="E751" s="118"/>
      <c r="F751" s="118"/>
      <c r="G751" s="118"/>
      <c r="H751" s="58" t="s">
        <v>58</v>
      </c>
      <c r="I751" s="187" t="s">
        <v>53</v>
      </c>
      <c r="J751" s="433"/>
    </row>
    <row r="752" spans="2:10" s="434" customFormat="1" ht="30" customHeight="1">
      <c r="B752" s="529" t="s">
        <v>399</v>
      </c>
      <c r="C752" s="337" t="s">
        <v>92</v>
      </c>
      <c r="D752" s="390">
        <v>0.03</v>
      </c>
      <c r="E752" s="118"/>
      <c r="F752" s="118"/>
      <c r="G752" s="118"/>
      <c r="H752" s="53">
        <f>Insumos!D79</f>
        <v>11.17</v>
      </c>
      <c r="I752" s="100">
        <f>D752*H752</f>
        <v>0.34</v>
      </c>
      <c r="J752" s="433"/>
    </row>
    <row r="753" spans="2:10" s="434" customFormat="1" ht="30" customHeight="1">
      <c r="B753" s="529" t="s">
        <v>402</v>
      </c>
      <c r="C753" s="337" t="s">
        <v>59</v>
      </c>
      <c r="D753" s="390">
        <v>0.02</v>
      </c>
      <c r="E753" s="118"/>
      <c r="F753" s="118"/>
      <c r="G753" s="118"/>
      <c r="H753" s="53">
        <f>Insumos!D82</f>
        <v>6.38</v>
      </c>
      <c r="I753" s="100">
        <f>D753*H753</f>
        <v>0.13</v>
      </c>
      <c r="J753" s="433"/>
    </row>
    <row r="754" spans="2:10" s="434" customFormat="1" ht="30" customHeight="1">
      <c r="B754" s="689" t="s">
        <v>55</v>
      </c>
      <c r="C754" s="690"/>
      <c r="D754" s="690"/>
      <c r="E754" s="690"/>
      <c r="F754" s="690"/>
      <c r="G754" s="690"/>
      <c r="H754" s="690"/>
      <c r="I754" s="100">
        <f>SUM(I752:I753)</f>
        <v>0.47</v>
      </c>
      <c r="J754" s="433"/>
    </row>
    <row r="755" spans="2:10" s="434" customFormat="1" ht="30" customHeight="1">
      <c r="B755" s="691" t="s">
        <v>60</v>
      </c>
      <c r="C755" s="692"/>
      <c r="D755" s="692"/>
      <c r="E755" s="692"/>
      <c r="F755" s="692"/>
      <c r="G755" s="692"/>
      <c r="H755" s="692"/>
      <c r="I755" s="693"/>
      <c r="J755" s="433"/>
    </row>
    <row r="756" spans="2:10" s="434" customFormat="1" ht="30" customHeight="1">
      <c r="B756" s="182" t="s">
        <v>57</v>
      </c>
      <c r="C756" s="53" t="s">
        <v>68</v>
      </c>
      <c r="D756" s="58" t="s">
        <v>48</v>
      </c>
      <c r="E756" s="52"/>
      <c r="F756" s="52"/>
      <c r="G756" s="52"/>
      <c r="H756" s="58" t="s">
        <v>58</v>
      </c>
      <c r="I756" s="187" t="s">
        <v>53</v>
      </c>
      <c r="J756" s="433"/>
    </row>
    <row r="757" spans="2:10" s="434" customFormat="1" ht="30" customHeight="1">
      <c r="B757" s="520"/>
      <c r="C757" s="337"/>
      <c r="D757" s="521"/>
      <c r="E757" s="52"/>
      <c r="F757" s="52"/>
      <c r="G757" s="52"/>
      <c r="H757" s="53"/>
      <c r="I757" s="100">
        <f>D757*H757</f>
        <v>0</v>
      </c>
      <c r="J757" s="433"/>
    </row>
    <row r="758" spans="2:10" s="434" customFormat="1" ht="30" customHeight="1">
      <c r="B758" s="689" t="s">
        <v>55</v>
      </c>
      <c r="C758" s="690"/>
      <c r="D758" s="690"/>
      <c r="E758" s="690"/>
      <c r="F758" s="690"/>
      <c r="G758" s="690"/>
      <c r="H758" s="690"/>
      <c r="I758" s="100">
        <f>SUM(I757:I757)</f>
        <v>0</v>
      </c>
      <c r="J758" s="433"/>
    </row>
    <row r="759" spans="2:10" s="434" customFormat="1" ht="30" customHeight="1">
      <c r="B759" s="691" t="s">
        <v>61</v>
      </c>
      <c r="C759" s="692"/>
      <c r="D759" s="692"/>
      <c r="E759" s="692"/>
      <c r="F759" s="692"/>
      <c r="G759" s="692"/>
      <c r="H759" s="692"/>
      <c r="I759" s="693"/>
      <c r="J759" s="433"/>
    </row>
    <row r="760" spans="2:10" s="434" customFormat="1" ht="30" customHeight="1">
      <c r="B760" s="447" t="s">
        <v>57</v>
      </c>
      <c r="C760" s="53" t="s">
        <v>68</v>
      </c>
      <c r="D760" s="177" t="s">
        <v>48</v>
      </c>
      <c r="E760" s="118"/>
      <c r="F760" s="118"/>
      <c r="G760" s="118"/>
      <c r="H760" s="58" t="s">
        <v>58</v>
      </c>
      <c r="I760" s="187" t="s">
        <v>53</v>
      </c>
      <c r="J760" s="433"/>
    </row>
    <row r="761" spans="2:10" s="434" customFormat="1" ht="30" customHeight="1">
      <c r="B761" s="212" t="s">
        <v>114</v>
      </c>
      <c r="C761" s="337" t="s">
        <v>54</v>
      </c>
      <c r="D761" s="390">
        <v>0.1</v>
      </c>
      <c r="E761" s="118"/>
      <c r="F761" s="118"/>
      <c r="G761" s="118"/>
      <c r="H761" s="55">
        <f>Insumos!D17</f>
        <v>8.69</v>
      </c>
      <c r="I761" s="100">
        <f>H761*D761</f>
        <v>0.87</v>
      </c>
      <c r="J761" s="433"/>
    </row>
    <row r="762" spans="2:10" s="434" customFormat="1" ht="30" customHeight="1">
      <c r="B762" s="212" t="s">
        <v>115</v>
      </c>
      <c r="C762" s="337" t="s">
        <v>54</v>
      </c>
      <c r="D762" s="390">
        <v>0.4</v>
      </c>
      <c r="E762" s="118"/>
      <c r="F762" s="118"/>
      <c r="G762" s="118"/>
      <c r="H762" s="55">
        <f>Insumos!D24</f>
        <v>6.53</v>
      </c>
      <c r="I762" s="100">
        <f>H762*D762</f>
        <v>2.61</v>
      </c>
      <c r="J762" s="433"/>
    </row>
    <row r="763" spans="2:10" s="434" customFormat="1" ht="30" customHeight="1">
      <c r="B763" s="689" t="s">
        <v>55</v>
      </c>
      <c r="C763" s="690"/>
      <c r="D763" s="690"/>
      <c r="E763" s="690"/>
      <c r="F763" s="690"/>
      <c r="G763" s="690"/>
      <c r="H763" s="690"/>
      <c r="I763" s="163">
        <f>SUM(I761:I762)</f>
        <v>3.48</v>
      </c>
      <c r="J763" s="433"/>
    </row>
    <row r="764" spans="2:10" s="434" customFormat="1" ht="30" customHeight="1">
      <c r="B764" s="99" t="s">
        <v>62</v>
      </c>
      <c r="C764" s="54">
        <v>1</v>
      </c>
      <c r="D764" s="690" t="s">
        <v>63</v>
      </c>
      <c r="E764" s="690"/>
      <c r="F764" s="690"/>
      <c r="G764" s="690"/>
      <c r="H764" s="690"/>
      <c r="I764" s="163">
        <f>I763+I758+I754+I749</f>
        <v>3.95</v>
      </c>
      <c r="J764" s="433"/>
    </row>
    <row r="765" spans="2:10" s="434" customFormat="1" ht="30" customHeight="1">
      <c r="B765" s="716" t="s">
        <v>77</v>
      </c>
      <c r="C765" s="717"/>
      <c r="D765" s="717"/>
      <c r="E765" s="717"/>
      <c r="F765" s="717"/>
      <c r="G765" s="717"/>
      <c r="H765" s="717"/>
      <c r="I765" s="100">
        <f>I764/C764</f>
        <v>3.95</v>
      </c>
      <c r="J765" s="433"/>
    </row>
    <row r="766" spans="2:10" s="434" customFormat="1" ht="30" customHeight="1">
      <c r="B766" s="101" t="s">
        <v>113</v>
      </c>
      <c r="C766" s="129">
        <v>25</v>
      </c>
      <c r="D766" s="720" t="s">
        <v>5</v>
      </c>
      <c r="E766" s="720"/>
      <c r="F766" s="720"/>
      <c r="G766" s="720"/>
      <c r="H766" s="720"/>
      <c r="I766" s="102">
        <f>C766/100*I765</f>
        <v>0.99</v>
      </c>
      <c r="J766" s="433"/>
    </row>
    <row r="767" spans="2:10" s="434" customFormat="1" ht="30" customHeight="1" thickBot="1">
      <c r="B767" s="702" t="s">
        <v>64</v>
      </c>
      <c r="C767" s="703"/>
      <c r="D767" s="703"/>
      <c r="E767" s="703"/>
      <c r="F767" s="703"/>
      <c r="G767" s="703"/>
      <c r="H767" s="703"/>
      <c r="I767" s="188">
        <f>I766+I765</f>
        <v>4.9400000000000004</v>
      </c>
      <c r="J767" s="433"/>
    </row>
    <row r="768" spans="2:10" s="434" customFormat="1">
      <c r="B768" s="91"/>
      <c r="C768" s="94"/>
      <c r="D768" s="178"/>
      <c r="E768" s="91"/>
      <c r="F768" s="91"/>
      <c r="G768" s="91"/>
      <c r="H768" s="91"/>
      <c r="I768" s="95"/>
      <c r="J768" s="433"/>
    </row>
    <row r="769" spans="2:10" s="434" customFormat="1">
      <c r="B769" s="91"/>
      <c r="C769" s="94"/>
      <c r="D769" s="178"/>
      <c r="E769" s="91"/>
      <c r="F769" s="91"/>
      <c r="G769" s="91"/>
      <c r="H769" s="91"/>
      <c r="I769" s="95"/>
      <c r="J769" s="433"/>
    </row>
    <row r="770" spans="2:10" s="434" customFormat="1" ht="13.5" thickBot="1">
      <c r="B770" s="91"/>
      <c r="C770" s="94"/>
      <c r="D770" s="178"/>
      <c r="E770" s="91"/>
      <c r="F770" s="91"/>
      <c r="G770" s="91"/>
      <c r="H770" s="91"/>
      <c r="I770" s="95"/>
      <c r="J770" s="433"/>
    </row>
    <row r="771" spans="2:10" ht="16.5" thickBot="1">
      <c r="B771" s="484" t="s">
        <v>43</v>
      </c>
      <c r="C771" s="484" t="s">
        <v>406</v>
      </c>
      <c r="D771" s="709" t="s">
        <v>45</v>
      </c>
      <c r="E771" s="710"/>
      <c r="F771" s="710"/>
      <c r="G771" s="710"/>
      <c r="H771" s="710"/>
      <c r="I771" s="711"/>
    </row>
    <row r="772" spans="2:10">
      <c r="B772" s="712" t="s">
        <v>704</v>
      </c>
      <c r="C772" s="713"/>
      <c r="D772" s="713"/>
      <c r="E772" s="713"/>
      <c r="F772" s="713"/>
      <c r="G772" s="714"/>
      <c r="H772" s="701" t="s">
        <v>705</v>
      </c>
      <c r="I772" s="700"/>
    </row>
    <row r="773" spans="2:10">
      <c r="B773" s="706" t="s">
        <v>613</v>
      </c>
      <c r="C773" s="707"/>
      <c r="D773" s="707"/>
      <c r="E773" s="707"/>
      <c r="F773" s="707"/>
      <c r="G773" s="715"/>
      <c r="H773" s="57" t="s">
        <v>66</v>
      </c>
      <c r="I773" s="218" t="s">
        <v>80</v>
      </c>
    </row>
    <row r="774" spans="2:10" s="434" customFormat="1" ht="24.95" customHeight="1">
      <c r="B774" s="691" t="s">
        <v>46</v>
      </c>
      <c r="C774" s="692"/>
      <c r="D774" s="692"/>
      <c r="E774" s="692"/>
      <c r="F774" s="692"/>
      <c r="G774" s="692"/>
      <c r="H774" s="692"/>
      <c r="I774" s="721"/>
      <c r="J774" s="433"/>
    </row>
    <row r="775" spans="2:10" s="434" customFormat="1" ht="24.95" customHeight="1">
      <c r="B775" s="185" t="s">
        <v>57</v>
      </c>
      <c r="C775" s="115" t="s">
        <v>68</v>
      </c>
      <c r="D775" s="116" t="s">
        <v>48</v>
      </c>
      <c r="E775" s="116" t="s">
        <v>49</v>
      </c>
      <c r="F775" s="116" t="s">
        <v>50</v>
      </c>
      <c r="G775" s="117" t="s">
        <v>51</v>
      </c>
      <c r="H775" s="117" t="s">
        <v>52</v>
      </c>
      <c r="I775" s="186" t="s">
        <v>53</v>
      </c>
      <c r="J775" s="433"/>
    </row>
    <row r="776" spans="2:10" s="434" customFormat="1" ht="24.95" customHeight="1">
      <c r="B776" s="189"/>
      <c r="C776" s="179"/>
      <c r="D776" s="180"/>
      <c r="E776" s="114"/>
      <c r="F776" s="114"/>
      <c r="G776" s="55"/>
      <c r="H776" s="55"/>
      <c r="I776" s="100">
        <f>D776*H776</f>
        <v>0</v>
      </c>
      <c r="J776" s="433"/>
    </row>
    <row r="777" spans="2:10" s="434" customFormat="1" ht="24.95" customHeight="1">
      <c r="B777" s="704"/>
      <c r="C777" s="705"/>
      <c r="D777" s="705"/>
      <c r="E777" s="705"/>
      <c r="F777" s="705"/>
      <c r="G777" s="705"/>
      <c r="H777" s="705"/>
      <c r="I777" s="163">
        <f>SUM(I776:I776)</f>
        <v>0</v>
      </c>
      <c r="J777" s="433"/>
    </row>
    <row r="778" spans="2:10" s="434" customFormat="1" ht="30" customHeight="1">
      <c r="B778" s="691" t="s">
        <v>56</v>
      </c>
      <c r="C778" s="692"/>
      <c r="D778" s="692"/>
      <c r="E778" s="692"/>
      <c r="F778" s="692"/>
      <c r="G778" s="692"/>
      <c r="H778" s="692"/>
      <c r="I778" s="693"/>
      <c r="J778" s="433"/>
    </row>
    <row r="779" spans="2:10" s="434" customFormat="1" ht="30" customHeight="1">
      <c r="B779" s="447" t="s">
        <v>57</v>
      </c>
      <c r="C779" s="53" t="s">
        <v>68</v>
      </c>
      <c r="D779" s="177" t="s">
        <v>48</v>
      </c>
      <c r="E779" s="118"/>
      <c r="F779" s="118"/>
      <c r="G779" s="118"/>
      <c r="H779" s="58" t="s">
        <v>58</v>
      </c>
      <c r="I779" s="187" t="s">
        <v>53</v>
      </c>
      <c r="J779" s="433"/>
    </row>
    <row r="780" spans="2:10" s="434" customFormat="1" ht="30" customHeight="1">
      <c r="B780" s="529" t="s">
        <v>413</v>
      </c>
      <c r="C780" s="337" t="s">
        <v>74</v>
      </c>
      <c r="D780" s="390">
        <v>7.0000000000000007E-2</v>
      </c>
      <c r="E780" s="118"/>
      <c r="F780" s="118"/>
      <c r="G780" s="118"/>
      <c r="H780" s="53">
        <f>Insumos!D91</f>
        <v>7.88</v>
      </c>
      <c r="I780" s="100">
        <f>D780*H780</f>
        <v>0.55000000000000004</v>
      </c>
      <c r="J780" s="433"/>
    </row>
    <row r="781" spans="2:10" s="434" customFormat="1" ht="30" customHeight="1">
      <c r="B781" s="529" t="s">
        <v>415</v>
      </c>
      <c r="C781" s="337" t="s">
        <v>74</v>
      </c>
      <c r="D781" s="390">
        <v>0.15</v>
      </c>
      <c r="E781" s="118"/>
      <c r="F781" s="118"/>
      <c r="G781" s="118"/>
      <c r="H781" s="53">
        <f>Insumos!D92</f>
        <v>7.25</v>
      </c>
      <c r="I781" s="100">
        <f>D781*H781</f>
        <v>1.0900000000000001</v>
      </c>
      <c r="J781" s="433"/>
    </row>
    <row r="782" spans="2:10" s="434" customFormat="1" ht="30" customHeight="1">
      <c r="B782" s="529" t="s">
        <v>614</v>
      </c>
      <c r="C782" s="337" t="s">
        <v>71</v>
      </c>
      <c r="D782" s="390">
        <v>1.68</v>
      </c>
      <c r="E782" s="118"/>
      <c r="F782" s="118"/>
      <c r="G782" s="118"/>
      <c r="H782" s="53">
        <f>Insumos!D93</f>
        <v>35.72</v>
      </c>
      <c r="I782" s="100">
        <f>D782*H782</f>
        <v>60.01</v>
      </c>
      <c r="J782" s="433"/>
    </row>
    <row r="783" spans="2:10" s="434" customFormat="1" ht="30" customHeight="1">
      <c r="B783" s="529" t="s">
        <v>414</v>
      </c>
      <c r="C783" s="337" t="s">
        <v>80</v>
      </c>
      <c r="D783" s="390">
        <v>1.05</v>
      </c>
      <c r="E783" s="118"/>
      <c r="F783" s="118"/>
      <c r="G783" s="118"/>
      <c r="H783" s="53">
        <f>Insumos!D95</f>
        <v>11.74</v>
      </c>
      <c r="I783" s="100">
        <f>D783*H783</f>
        <v>12.33</v>
      </c>
      <c r="J783" s="433"/>
    </row>
    <row r="784" spans="2:10" s="434" customFormat="1" ht="30" customHeight="1">
      <c r="B784" s="689" t="s">
        <v>55</v>
      </c>
      <c r="C784" s="690"/>
      <c r="D784" s="690"/>
      <c r="E784" s="690"/>
      <c r="F784" s="690"/>
      <c r="G784" s="690"/>
      <c r="H784" s="690"/>
      <c r="I784" s="100">
        <f>SUM(I780:I783)</f>
        <v>73.98</v>
      </c>
      <c r="J784" s="433"/>
    </row>
    <row r="785" spans="2:10" s="434" customFormat="1" ht="30" customHeight="1">
      <c r="B785" s="691" t="s">
        <v>60</v>
      </c>
      <c r="C785" s="692"/>
      <c r="D785" s="692"/>
      <c r="E785" s="692"/>
      <c r="F785" s="692"/>
      <c r="G785" s="692"/>
      <c r="H785" s="692"/>
      <c r="I785" s="693"/>
      <c r="J785" s="433"/>
    </row>
    <row r="786" spans="2:10" s="434" customFormat="1" ht="30" customHeight="1">
      <c r="B786" s="182" t="s">
        <v>57</v>
      </c>
      <c r="C786" s="53" t="s">
        <v>68</v>
      </c>
      <c r="D786" s="58" t="s">
        <v>48</v>
      </c>
      <c r="E786" s="52"/>
      <c r="F786" s="52"/>
      <c r="G786" s="52"/>
      <c r="H786" s="58" t="s">
        <v>58</v>
      </c>
      <c r="I786" s="187" t="s">
        <v>53</v>
      </c>
      <c r="J786" s="433"/>
    </row>
    <row r="787" spans="2:10" s="434" customFormat="1" ht="30" customHeight="1">
      <c r="B787" s="520"/>
      <c r="C787" s="337"/>
      <c r="D787" s="521"/>
      <c r="E787" s="52"/>
      <c r="F787" s="52"/>
      <c r="G787" s="52"/>
      <c r="H787" s="53"/>
      <c r="I787" s="100">
        <f>D787*H787</f>
        <v>0</v>
      </c>
      <c r="J787" s="433"/>
    </row>
    <row r="788" spans="2:10" s="434" customFormat="1" ht="30" customHeight="1">
      <c r="B788" s="689" t="s">
        <v>55</v>
      </c>
      <c r="C788" s="690"/>
      <c r="D788" s="690"/>
      <c r="E788" s="690"/>
      <c r="F788" s="690"/>
      <c r="G788" s="690"/>
      <c r="H788" s="690"/>
      <c r="I788" s="100">
        <f>SUM(I787:I787)</f>
        <v>0</v>
      </c>
      <c r="J788" s="433"/>
    </row>
    <row r="789" spans="2:10" s="434" customFormat="1" ht="30" customHeight="1">
      <c r="B789" s="691" t="s">
        <v>61</v>
      </c>
      <c r="C789" s="692"/>
      <c r="D789" s="692"/>
      <c r="E789" s="692"/>
      <c r="F789" s="692"/>
      <c r="G789" s="692"/>
      <c r="H789" s="692"/>
      <c r="I789" s="693"/>
      <c r="J789" s="433"/>
    </row>
    <row r="790" spans="2:10" s="434" customFormat="1" ht="30" customHeight="1">
      <c r="B790" s="447" t="s">
        <v>57</v>
      </c>
      <c r="C790" s="53" t="s">
        <v>68</v>
      </c>
      <c r="D790" s="177" t="s">
        <v>48</v>
      </c>
      <c r="E790" s="118"/>
      <c r="F790" s="118"/>
      <c r="G790" s="118"/>
      <c r="H790" s="58" t="s">
        <v>58</v>
      </c>
      <c r="I790" s="187" t="s">
        <v>53</v>
      </c>
      <c r="J790" s="433"/>
    </row>
    <row r="791" spans="2:10" s="434" customFormat="1" ht="30" customHeight="1">
      <c r="B791" s="212" t="s">
        <v>411</v>
      </c>
      <c r="C791" s="337" t="s">
        <v>54</v>
      </c>
      <c r="D791" s="390">
        <v>0.5</v>
      </c>
      <c r="E791" s="118"/>
      <c r="F791" s="118"/>
      <c r="G791" s="118"/>
      <c r="H791" s="55">
        <f>Insumos!D18</f>
        <v>11.41</v>
      </c>
      <c r="I791" s="100">
        <f>H791*D791</f>
        <v>5.71</v>
      </c>
      <c r="J791" s="433"/>
    </row>
    <row r="792" spans="2:10" s="434" customFormat="1" ht="30" customHeight="1">
      <c r="B792" s="212" t="s">
        <v>412</v>
      </c>
      <c r="C792" s="337" t="s">
        <v>54</v>
      </c>
      <c r="D792" s="390">
        <v>0.8</v>
      </c>
      <c r="E792" s="118"/>
      <c r="F792" s="118"/>
      <c r="G792" s="118"/>
      <c r="H792" s="55">
        <f>Insumos!D28</f>
        <v>7.08</v>
      </c>
      <c r="I792" s="100">
        <f>H792*D792</f>
        <v>5.66</v>
      </c>
      <c r="J792" s="433"/>
    </row>
    <row r="793" spans="2:10" s="434" customFormat="1" ht="30" customHeight="1">
      <c r="B793" s="689" t="s">
        <v>55</v>
      </c>
      <c r="C793" s="690"/>
      <c r="D793" s="690"/>
      <c r="E793" s="690"/>
      <c r="F793" s="690"/>
      <c r="G793" s="690"/>
      <c r="H793" s="690"/>
      <c r="I793" s="163">
        <f>SUM(I791:I792)</f>
        <v>11.37</v>
      </c>
      <c r="J793" s="433"/>
    </row>
    <row r="794" spans="2:10" s="434" customFormat="1" ht="30" customHeight="1">
      <c r="B794" s="99" t="s">
        <v>62</v>
      </c>
      <c r="C794" s="54">
        <v>1</v>
      </c>
      <c r="D794" s="690" t="s">
        <v>63</v>
      </c>
      <c r="E794" s="690"/>
      <c r="F794" s="690"/>
      <c r="G794" s="690"/>
      <c r="H794" s="690"/>
      <c r="I794" s="163">
        <f>I793+I788+I784+I777</f>
        <v>85.35</v>
      </c>
      <c r="J794" s="433"/>
    </row>
    <row r="795" spans="2:10" s="434" customFormat="1" ht="30" customHeight="1">
      <c r="B795" s="716" t="s">
        <v>77</v>
      </c>
      <c r="C795" s="717"/>
      <c r="D795" s="717"/>
      <c r="E795" s="717"/>
      <c r="F795" s="717"/>
      <c r="G795" s="717"/>
      <c r="H795" s="717"/>
      <c r="I795" s="100">
        <f>I794/C794</f>
        <v>85.35</v>
      </c>
      <c r="J795" s="433"/>
    </row>
    <row r="796" spans="2:10" s="434" customFormat="1" ht="30" customHeight="1">
      <c r="B796" s="101" t="s">
        <v>113</v>
      </c>
      <c r="C796" s="129">
        <v>25</v>
      </c>
      <c r="D796" s="720" t="s">
        <v>5</v>
      </c>
      <c r="E796" s="720"/>
      <c r="F796" s="720"/>
      <c r="G796" s="720"/>
      <c r="H796" s="720"/>
      <c r="I796" s="102">
        <f>C796/100*I795</f>
        <v>21.34</v>
      </c>
      <c r="J796" s="433"/>
    </row>
    <row r="797" spans="2:10" s="434" customFormat="1" ht="30" customHeight="1" thickBot="1">
      <c r="B797" s="702" t="s">
        <v>64</v>
      </c>
      <c r="C797" s="703"/>
      <c r="D797" s="703"/>
      <c r="E797" s="703"/>
      <c r="F797" s="703"/>
      <c r="G797" s="703"/>
      <c r="H797" s="703"/>
      <c r="I797" s="188">
        <f>I796+I795</f>
        <v>106.69</v>
      </c>
      <c r="J797" s="433"/>
    </row>
    <row r="800" spans="2:10" ht="13.5" thickBot="1"/>
    <row r="801" spans="2:10" ht="16.5" thickBot="1">
      <c r="B801" s="484" t="s">
        <v>43</v>
      </c>
      <c r="C801" s="484" t="s">
        <v>421</v>
      </c>
      <c r="D801" s="709" t="s">
        <v>45</v>
      </c>
      <c r="E801" s="710"/>
      <c r="F801" s="710"/>
      <c r="G801" s="710"/>
      <c r="H801" s="710"/>
      <c r="I801" s="711"/>
    </row>
    <row r="802" spans="2:10" ht="30" customHeight="1">
      <c r="B802" s="712" t="s">
        <v>704</v>
      </c>
      <c r="C802" s="713"/>
      <c r="D802" s="713"/>
      <c r="E802" s="713"/>
      <c r="F802" s="713"/>
      <c r="G802" s="714"/>
      <c r="H802" s="701" t="s">
        <v>705</v>
      </c>
      <c r="I802" s="700"/>
    </row>
    <row r="803" spans="2:10" ht="30" customHeight="1">
      <c r="B803" s="706" t="s">
        <v>416</v>
      </c>
      <c r="C803" s="707"/>
      <c r="D803" s="707"/>
      <c r="E803" s="707"/>
      <c r="F803" s="707"/>
      <c r="G803" s="715"/>
      <c r="H803" s="57" t="s">
        <v>66</v>
      </c>
      <c r="I803" s="218" t="s">
        <v>71</v>
      </c>
    </row>
    <row r="804" spans="2:10" ht="30" customHeight="1">
      <c r="B804" s="691" t="s">
        <v>46</v>
      </c>
      <c r="C804" s="692"/>
      <c r="D804" s="692"/>
      <c r="E804" s="692"/>
      <c r="F804" s="692"/>
      <c r="G804" s="692"/>
      <c r="H804" s="692"/>
      <c r="I804" s="721"/>
    </row>
    <row r="805" spans="2:10" ht="30" customHeight="1">
      <c r="B805" s="185" t="s">
        <v>57</v>
      </c>
      <c r="C805" s="115" t="s">
        <v>68</v>
      </c>
      <c r="D805" s="116" t="s">
        <v>48</v>
      </c>
      <c r="E805" s="116" t="s">
        <v>49</v>
      </c>
      <c r="F805" s="116" t="s">
        <v>50</v>
      </c>
      <c r="G805" s="117" t="s">
        <v>51</v>
      </c>
      <c r="H805" s="117" t="s">
        <v>52</v>
      </c>
      <c r="I805" s="186" t="s">
        <v>53</v>
      </c>
    </row>
    <row r="806" spans="2:10" s="434" customFormat="1" ht="30" customHeight="1">
      <c r="B806" s="189"/>
      <c r="C806" s="179"/>
      <c r="D806" s="180"/>
      <c r="E806" s="114"/>
      <c r="F806" s="114"/>
      <c r="G806" s="55"/>
      <c r="H806" s="55"/>
      <c r="I806" s="100">
        <f>D806*H806</f>
        <v>0</v>
      </c>
      <c r="J806" s="433"/>
    </row>
    <row r="807" spans="2:10" s="434" customFormat="1" ht="30" customHeight="1">
      <c r="B807" s="704"/>
      <c r="C807" s="705"/>
      <c r="D807" s="705"/>
      <c r="E807" s="705"/>
      <c r="F807" s="705"/>
      <c r="G807" s="705"/>
      <c r="H807" s="705"/>
      <c r="I807" s="163">
        <f>SUM(I806:I806)</f>
        <v>0</v>
      </c>
      <c r="J807" s="433"/>
    </row>
    <row r="808" spans="2:10" s="434" customFormat="1" ht="30" customHeight="1">
      <c r="B808" s="691" t="s">
        <v>56</v>
      </c>
      <c r="C808" s="692"/>
      <c r="D808" s="692"/>
      <c r="E808" s="692"/>
      <c r="F808" s="692"/>
      <c r="G808" s="692"/>
      <c r="H808" s="692"/>
      <c r="I808" s="693"/>
      <c r="J808" s="433"/>
    </row>
    <row r="809" spans="2:10" s="434" customFormat="1" ht="30" customHeight="1">
      <c r="B809" s="447" t="s">
        <v>57</v>
      </c>
      <c r="C809" s="53" t="s">
        <v>68</v>
      </c>
      <c r="D809" s="177" t="s">
        <v>48</v>
      </c>
      <c r="E809" s="118"/>
      <c r="F809" s="118"/>
      <c r="G809" s="118"/>
      <c r="H809" s="58" t="s">
        <v>58</v>
      </c>
      <c r="I809" s="187" t="s">
        <v>53</v>
      </c>
      <c r="J809" s="433"/>
    </row>
    <row r="810" spans="2:10" s="434" customFormat="1" ht="30" customHeight="1">
      <c r="B810" s="529" t="s">
        <v>663</v>
      </c>
      <c r="C810" s="337" t="s">
        <v>59</v>
      </c>
      <c r="D810" s="390">
        <v>2</v>
      </c>
      <c r="E810" s="118"/>
      <c r="F810" s="118"/>
      <c r="G810" s="118"/>
      <c r="H810" s="53">
        <f>Insumos!D96</f>
        <v>2.2200000000000002</v>
      </c>
      <c r="I810" s="100">
        <f>D810*H810</f>
        <v>4.4400000000000004</v>
      </c>
      <c r="J810" s="433"/>
    </row>
    <row r="811" spans="2:10" s="434" customFormat="1" ht="30" customHeight="1">
      <c r="B811" s="529" t="s">
        <v>664</v>
      </c>
      <c r="C811" s="337" t="s">
        <v>71</v>
      </c>
      <c r="D811" s="390">
        <v>1</v>
      </c>
      <c r="E811" s="118"/>
      <c r="F811" s="118"/>
      <c r="G811" s="118"/>
      <c r="H811" s="53">
        <f>Insumos!D94</f>
        <v>23.16</v>
      </c>
      <c r="I811" s="100">
        <f>D811*H811</f>
        <v>23.16</v>
      </c>
      <c r="J811" s="433"/>
    </row>
    <row r="812" spans="2:10" s="434" customFormat="1" ht="30" customHeight="1">
      <c r="B812" s="689" t="s">
        <v>55</v>
      </c>
      <c r="C812" s="690"/>
      <c r="D812" s="690"/>
      <c r="E812" s="690"/>
      <c r="F812" s="690"/>
      <c r="G812" s="690"/>
      <c r="H812" s="690"/>
      <c r="I812" s="100">
        <f>SUM(I810:I811)</f>
        <v>27.6</v>
      </c>
      <c r="J812" s="433"/>
    </row>
    <row r="813" spans="2:10" s="434" customFormat="1" ht="30" customHeight="1">
      <c r="B813" s="691" t="s">
        <v>60</v>
      </c>
      <c r="C813" s="692"/>
      <c r="D813" s="692"/>
      <c r="E813" s="692"/>
      <c r="F813" s="692"/>
      <c r="G813" s="692"/>
      <c r="H813" s="692"/>
      <c r="I813" s="693"/>
      <c r="J813" s="433"/>
    </row>
    <row r="814" spans="2:10" s="434" customFormat="1" ht="30" customHeight="1">
      <c r="B814" s="182" t="s">
        <v>57</v>
      </c>
      <c r="C814" s="53" t="s">
        <v>68</v>
      </c>
      <c r="D814" s="58" t="s">
        <v>48</v>
      </c>
      <c r="E814" s="52"/>
      <c r="F814" s="52"/>
      <c r="G814" s="52"/>
      <c r="H814" s="58" t="s">
        <v>58</v>
      </c>
      <c r="I814" s="187" t="s">
        <v>53</v>
      </c>
      <c r="J814" s="433"/>
    </row>
    <row r="815" spans="2:10" s="434" customFormat="1" ht="30" customHeight="1">
      <c r="B815" s="520" t="s">
        <v>418</v>
      </c>
      <c r="C815" s="337" t="s">
        <v>87</v>
      </c>
      <c r="D815" s="521">
        <v>3.0000000000000001E-3</v>
      </c>
      <c r="E815" s="52"/>
      <c r="F815" s="52"/>
      <c r="G815" s="52"/>
      <c r="H815" s="53">
        <f>I389</f>
        <v>358.39</v>
      </c>
      <c r="I815" s="100">
        <f>D815*H815</f>
        <v>1.08</v>
      </c>
      <c r="J815" s="433"/>
    </row>
    <row r="816" spans="2:10" s="434" customFormat="1" ht="30" customHeight="1">
      <c r="B816" s="689" t="s">
        <v>55</v>
      </c>
      <c r="C816" s="690"/>
      <c r="D816" s="690"/>
      <c r="E816" s="690"/>
      <c r="F816" s="690"/>
      <c r="G816" s="690"/>
      <c r="H816" s="690"/>
      <c r="I816" s="100">
        <f>SUM(I815:I815)</f>
        <v>1.08</v>
      </c>
      <c r="J816" s="433"/>
    </row>
    <row r="817" spans="2:10" s="434" customFormat="1" ht="30" customHeight="1">
      <c r="B817" s="691" t="s">
        <v>61</v>
      </c>
      <c r="C817" s="692"/>
      <c r="D817" s="692"/>
      <c r="E817" s="692"/>
      <c r="F817" s="692"/>
      <c r="G817" s="692"/>
      <c r="H817" s="692"/>
      <c r="I817" s="693"/>
      <c r="J817" s="433"/>
    </row>
    <row r="818" spans="2:10" s="434" customFormat="1" ht="30" customHeight="1">
      <c r="B818" s="447" t="s">
        <v>57</v>
      </c>
      <c r="C818" s="53" t="s">
        <v>68</v>
      </c>
      <c r="D818" s="177" t="s">
        <v>48</v>
      </c>
      <c r="E818" s="118"/>
      <c r="F818" s="118"/>
      <c r="G818" s="118"/>
      <c r="H818" s="58" t="s">
        <v>58</v>
      </c>
      <c r="I818" s="187" t="s">
        <v>53</v>
      </c>
      <c r="J818" s="433"/>
    </row>
    <row r="819" spans="2:10" s="434" customFormat="1" ht="30" customHeight="1">
      <c r="B819" s="212" t="s">
        <v>76</v>
      </c>
      <c r="C819" s="337" t="s">
        <v>54</v>
      </c>
      <c r="D819" s="390">
        <v>1.6</v>
      </c>
      <c r="E819" s="118"/>
      <c r="F819" s="118"/>
      <c r="G819" s="118"/>
      <c r="H819" s="55">
        <f>Insumos!D24</f>
        <v>6.53</v>
      </c>
      <c r="I819" s="100">
        <f>H819*D819</f>
        <v>10.45</v>
      </c>
      <c r="J819" s="433"/>
    </row>
    <row r="820" spans="2:10" s="434" customFormat="1" ht="30" customHeight="1">
      <c r="B820" s="212" t="s">
        <v>115</v>
      </c>
      <c r="C820" s="337" t="s">
        <v>54</v>
      </c>
      <c r="D820" s="390">
        <v>1.7</v>
      </c>
      <c r="E820" s="118"/>
      <c r="F820" s="118"/>
      <c r="G820" s="118"/>
      <c r="H820" s="55">
        <f>Insumos!D24</f>
        <v>6.53</v>
      </c>
      <c r="I820" s="100">
        <f>H820*D820</f>
        <v>11.1</v>
      </c>
      <c r="J820" s="433"/>
    </row>
    <row r="821" spans="2:10" s="434" customFormat="1" ht="30" customHeight="1">
      <c r="B821" s="689" t="s">
        <v>55</v>
      </c>
      <c r="C821" s="690"/>
      <c r="D821" s="690"/>
      <c r="E821" s="690"/>
      <c r="F821" s="690"/>
      <c r="G821" s="690"/>
      <c r="H821" s="690"/>
      <c r="I821" s="163">
        <f>SUM(I819:I820)</f>
        <v>21.55</v>
      </c>
      <c r="J821" s="433"/>
    </row>
    <row r="822" spans="2:10" s="434" customFormat="1" ht="30" customHeight="1">
      <c r="B822" s="99" t="s">
        <v>62</v>
      </c>
      <c r="C822" s="54">
        <v>1</v>
      </c>
      <c r="D822" s="690" t="s">
        <v>63</v>
      </c>
      <c r="E822" s="690"/>
      <c r="F822" s="690"/>
      <c r="G822" s="690"/>
      <c r="H822" s="690"/>
      <c r="I822" s="163">
        <f>I821+I816+I812+I807</f>
        <v>50.23</v>
      </c>
      <c r="J822" s="433"/>
    </row>
    <row r="823" spans="2:10" s="434" customFormat="1" ht="30" customHeight="1">
      <c r="B823" s="716" t="s">
        <v>77</v>
      </c>
      <c r="C823" s="717"/>
      <c r="D823" s="717"/>
      <c r="E823" s="717"/>
      <c r="F823" s="717"/>
      <c r="G823" s="717"/>
      <c r="H823" s="717"/>
      <c r="I823" s="100">
        <f>I822/C822</f>
        <v>50.23</v>
      </c>
      <c r="J823" s="433"/>
    </row>
    <row r="824" spans="2:10" s="434" customFormat="1" ht="30" customHeight="1">
      <c r="B824" s="101" t="s">
        <v>113</v>
      </c>
      <c r="C824" s="129">
        <v>25</v>
      </c>
      <c r="D824" s="720" t="s">
        <v>5</v>
      </c>
      <c r="E824" s="720"/>
      <c r="F824" s="720"/>
      <c r="G824" s="720"/>
      <c r="H824" s="720"/>
      <c r="I824" s="102">
        <f>C824/100*I823</f>
        <v>12.56</v>
      </c>
      <c r="J824" s="433"/>
    </row>
    <row r="825" spans="2:10" s="434" customFormat="1" ht="30" customHeight="1" thickBot="1">
      <c r="B825" s="702" t="s">
        <v>64</v>
      </c>
      <c r="C825" s="703"/>
      <c r="D825" s="703"/>
      <c r="E825" s="703"/>
      <c r="F825" s="703"/>
      <c r="G825" s="703"/>
      <c r="H825" s="703"/>
      <c r="I825" s="188">
        <f>I824+I823</f>
        <v>62.79</v>
      </c>
      <c r="J825" s="433"/>
    </row>
    <row r="826" spans="2:10" s="434" customFormat="1">
      <c r="B826" s="91"/>
      <c r="C826" s="94"/>
      <c r="D826" s="178"/>
      <c r="E826" s="91"/>
      <c r="F826" s="91"/>
      <c r="G826" s="91"/>
      <c r="H826" s="91"/>
      <c r="I826" s="95"/>
      <c r="J826" s="433"/>
    </row>
    <row r="827" spans="2:10" s="434" customFormat="1">
      <c r="B827" s="91"/>
      <c r="C827" s="94"/>
      <c r="D827" s="178"/>
      <c r="E827" s="91"/>
      <c r="F827" s="91"/>
      <c r="G827" s="91"/>
      <c r="H827" s="91"/>
      <c r="I827" s="95"/>
      <c r="J827" s="433"/>
    </row>
    <row r="828" spans="2:10" s="434" customFormat="1" ht="13.5" thickBot="1">
      <c r="B828" s="91"/>
      <c r="C828" s="94"/>
      <c r="D828" s="178"/>
      <c r="E828" s="91"/>
      <c r="F828" s="91"/>
      <c r="G828" s="91"/>
      <c r="H828" s="91"/>
      <c r="I828" s="95"/>
      <c r="J828" s="433"/>
    </row>
    <row r="829" spans="2:10" ht="16.5" thickBot="1">
      <c r="B829" s="484" t="s">
        <v>43</v>
      </c>
      <c r="C829" s="484" t="s">
        <v>534</v>
      </c>
      <c r="D829" s="709" t="s">
        <v>45</v>
      </c>
      <c r="E829" s="710"/>
      <c r="F829" s="710"/>
      <c r="G829" s="710"/>
      <c r="H829" s="710"/>
      <c r="I829" s="711"/>
    </row>
    <row r="830" spans="2:10">
      <c r="B830" s="712" t="s">
        <v>704</v>
      </c>
      <c r="C830" s="713"/>
      <c r="D830" s="713"/>
      <c r="E830" s="713"/>
      <c r="F830" s="713"/>
      <c r="G830" s="714"/>
      <c r="H830" s="701" t="s">
        <v>705</v>
      </c>
      <c r="I830" s="700"/>
    </row>
    <row r="831" spans="2:10">
      <c r="B831" s="706" t="s">
        <v>535</v>
      </c>
      <c r="C831" s="707"/>
      <c r="D831" s="707"/>
      <c r="E831" s="707"/>
      <c r="F831" s="707"/>
      <c r="G831" s="715"/>
      <c r="H831" s="57" t="s">
        <v>66</v>
      </c>
      <c r="I831" s="218" t="s">
        <v>80</v>
      </c>
    </row>
    <row r="832" spans="2:10" ht="30" customHeight="1">
      <c r="B832" s="691" t="s">
        <v>46</v>
      </c>
      <c r="C832" s="692"/>
      <c r="D832" s="692"/>
      <c r="E832" s="692"/>
      <c r="F832" s="692"/>
      <c r="G832" s="692"/>
      <c r="H832" s="692"/>
      <c r="I832" s="721"/>
    </row>
    <row r="833" spans="2:10" ht="30" customHeight="1">
      <c r="B833" s="185" t="s">
        <v>57</v>
      </c>
      <c r="C833" s="115" t="s">
        <v>68</v>
      </c>
      <c r="D833" s="116" t="s">
        <v>48</v>
      </c>
      <c r="E833" s="116" t="s">
        <v>49</v>
      </c>
      <c r="F833" s="116" t="s">
        <v>50</v>
      </c>
      <c r="G833" s="117" t="s">
        <v>51</v>
      </c>
      <c r="H833" s="117" t="s">
        <v>52</v>
      </c>
      <c r="I833" s="397" t="s">
        <v>53</v>
      </c>
    </row>
    <row r="834" spans="2:10" ht="30" customHeight="1">
      <c r="B834" s="189"/>
      <c r="C834" s="179"/>
      <c r="D834" s="180"/>
      <c r="E834" s="114"/>
      <c r="F834" s="114"/>
      <c r="G834" s="55"/>
      <c r="H834" s="55"/>
      <c r="I834" s="100">
        <f>D834*H834</f>
        <v>0</v>
      </c>
    </row>
    <row r="835" spans="2:10" ht="30" customHeight="1">
      <c r="B835" s="704"/>
      <c r="C835" s="705"/>
      <c r="D835" s="705"/>
      <c r="E835" s="705"/>
      <c r="F835" s="705"/>
      <c r="G835" s="705"/>
      <c r="H835" s="705"/>
      <c r="I835" s="163">
        <f>SUM(I834:I834)</f>
        <v>0</v>
      </c>
    </row>
    <row r="836" spans="2:10" ht="15.75">
      <c r="B836" s="691" t="s">
        <v>56</v>
      </c>
      <c r="C836" s="692"/>
      <c r="D836" s="692"/>
      <c r="E836" s="692"/>
      <c r="F836" s="692"/>
      <c r="G836" s="692"/>
      <c r="H836" s="692"/>
      <c r="I836" s="693"/>
    </row>
    <row r="837" spans="2:10">
      <c r="B837" s="447" t="s">
        <v>57</v>
      </c>
      <c r="C837" s="53" t="s">
        <v>68</v>
      </c>
      <c r="D837" s="177" t="s">
        <v>48</v>
      </c>
      <c r="E837" s="118"/>
      <c r="F837" s="118"/>
      <c r="G837" s="118"/>
      <c r="H837" s="58" t="s">
        <v>58</v>
      </c>
      <c r="I837" s="100" t="s">
        <v>53</v>
      </c>
    </row>
    <row r="838" spans="2:10">
      <c r="B838" s="529" t="s">
        <v>399</v>
      </c>
      <c r="C838" s="337" t="s">
        <v>92</v>
      </c>
      <c r="D838" s="530">
        <v>0.17</v>
      </c>
      <c r="E838" s="118"/>
      <c r="F838" s="118"/>
      <c r="G838" s="118"/>
      <c r="H838" s="53">
        <f>Insumos!D79</f>
        <v>11.17</v>
      </c>
      <c r="I838" s="100">
        <f>D838*H838</f>
        <v>1.9</v>
      </c>
    </row>
    <row r="839" spans="2:10" ht="30" customHeight="1">
      <c r="B839" s="689" t="s">
        <v>55</v>
      </c>
      <c r="C839" s="690"/>
      <c r="D839" s="690"/>
      <c r="E839" s="690"/>
      <c r="F839" s="690"/>
      <c r="G839" s="690"/>
      <c r="H839" s="690"/>
      <c r="I839" s="100">
        <f>SUM(I838:I838)</f>
        <v>1.9</v>
      </c>
    </row>
    <row r="840" spans="2:10" s="434" customFormat="1" ht="24.95" customHeight="1">
      <c r="B840" s="691" t="s">
        <v>60</v>
      </c>
      <c r="C840" s="692"/>
      <c r="D840" s="692"/>
      <c r="E840" s="692"/>
      <c r="F840" s="692"/>
      <c r="G840" s="692"/>
      <c r="H840" s="692"/>
      <c r="I840" s="693"/>
      <c r="J840" s="433"/>
    </row>
    <row r="841" spans="2:10" s="434" customFormat="1" ht="30" customHeight="1">
      <c r="B841" s="182" t="s">
        <v>57</v>
      </c>
      <c r="C841" s="53" t="s">
        <v>68</v>
      </c>
      <c r="D841" s="58" t="s">
        <v>48</v>
      </c>
      <c r="E841" s="52"/>
      <c r="F841" s="52"/>
      <c r="G841" s="52"/>
      <c r="H841" s="58" t="s">
        <v>58</v>
      </c>
      <c r="I841" s="100" t="s">
        <v>53</v>
      </c>
      <c r="J841" s="433"/>
    </row>
    <row r="842" spans="2:10" s="434" customFormat="1" ht="30" customHeight="1">
      <c r="B842" s="520"/>
      <c r="C842" s="337"/>
      <c r="D842" s="521"/>
      <c r="E842" s="52"/>
      <c r="F842" s="52"/>
      <c r="G842" s="52"/>
      <c r="H842" s="53"/>
      <c r="I842" s="100">
        <f>D842*H842</f>
        <v>0</v>
      </c>
      <c r="J842" s="433"/>
    </row>
    <row r="843" spans="2:10" s="434" customFormat="1" ht="30" customHeight="1">
      <c r="B843" s="689" t="s">
        <v>55</v>
      </c>
      <c r="C843" s="690"/>
      <c r="D843" s="690"/>
      <c r="E843" s="690"/>
      <c r="F843" s="690"/>
      <c r="G843" s="690"/>
      <c r="H843" s="690"/>
      <c r="I843" s="100">
        <f>SUM(I842:I842)</f>
        <v>0</v>
      </c>
      <c r="J843" s="433"/>
    </row>
    <row r="844" spans="2:10" s="434" customFormat="1" ht="30" customHeight="1">
      <c r="B844" s="691" t="s">
        <v>61</v>
      </c>
      <c r="C844" s="692"/>
      <c r="D844" s="692"/>
      <c r="E844" s="692"/>
      <c r="F844" s="692"/>
      <c r="G844" s="692"/>
      <c r="H844" s="692"/>
      <c r="I844" s="693"/>
      <c r="J844" s="433"/>
    </row>
    <row r="845" spans="2:10" s="434" customFormat="1" ht="30" customHeight="1">
      <c r="B845" s="447" t="s">
        <v>57</v>
      </c>
      <c r="C845" s="53" t="s">
        <v>68</v>
      </c>
      <c r="D845" s="177" t="s">
        <v>48</v>
      </c>
      <c r="E845" s="118"/>
      <c r="F845" s="118"/>
      <c r="G845" s="118"/>
      <c r="H845" s="58" t="s">
        <v>58</v>
      </c>
      <c r="I845" s="100" t="s">
        <v>53</v>
      </c>
      <c r="J845" s="433"/>
    </row>
    <row r="846" spans="2:10" s="434" customFormat="1" ht="30" customHeight="1">
      <c r="B846" s="212" t="s">
        <v>114</v>
      </c>
      <c r="C846" s="337" t="s">
        <v>54</v>
      </c>
      <c r="D846" s="530">
        <v>0.35</v>
      </c>
      <c r="E846" s="118"/>
      <c r="F846" s="118"/>
      <c r="G846" s="118"/>
      <c r="H846" s="55">
        <f>Insumos!D17</f>
        <v>8.69</v>
      </c>
      <c r="I846" s="100">
        <f>H846*D846</f>
        <v>3.04</v>
      </c>
      <c r="J846" s="433"/>
    </row>
    <row r="847" spans="2:10" s="434" customFormat="1" ht="30" customHeight="1">
      <c r="B847" s="212" t="s">
        <v>115</v>
      </c>
      <c r="C847" s="337" t="s">
        <v>54</v>
      </c>
      <c r="D847" s="530">
        <v>0.25</v>
      </c>
      <c r="E847" s="118"/>
      <c r="F847" s="118"/>
      <c r="G847" s="118"/>
      <c r="H847" s="55">
        <f>Insumos!D25</f>
        <v>6.53</v>
      </c>
      <c r="I847" s="100">
        <f>H847*D847</f>
        <v>1.63</v>
      </c>
      <c r="J847" s="433"/>
    </row>
    <row r="848" spans="2:10" s="434" customFormat="1" ht="30" customHeight="1">
      <c r="B848" s="689" t="s">
        <v>55</v>
      </c>
      <c r="C848" s="690"/>
      <c r="D848" s="690"/>
      <c r="E848" s="690"/>
      <c r="F848" s="690"/>
      <c r="G848" s="690"/>
      <c r="H848" s="690"/>
      <c r="I848" s="163">
        <f>SUM(I846:I847)</f>
        <v>4.67</v>
      </c>
      <c r="J848" s="433"/>
    </row>
    <row r="849" spans="2:11" s="434" customFormat="1" ht="30" customHeight="1">
      <c r="B849" s="99" t="s">
        <v>62</v>
      </c>
      <c r="C849" s="54">
        <v>1</v>
      </c>
      <c r="D849" s="690" t="s">
        <v>63</v>
      </c>
      <c r="E849" s="690"/>
      <c r="F849" s="690"/>
      <c r="G849" s="690"/>
      <c r="H849" s="690"/>
      <c r="I849" s="163">
        <f>I848+I843+I839+I835</f>
        <v>6.57</v>
      </c>
      <c r="J849" s="433"/>
    </row>
    <row r="850" spans="2:11" s="434" customFormat="1" ht="30" customHeight="1">
      <c r="B850" s="716" t="s">
        <v>77</v>
      </c>
      <c r="C850" s="717"/>
      <c r="D850" s="717"/>
      <c r="E850" s="717"/>
      <c r="F850" s="717"/>
      <c r="G850" s="717"/>
      <c r="H850" s="717"/>
      <c r="I850" s="100">
        <f>I849/C849</f>
        <v>6.57</v>
      </c>
      <c r="J850" s="433"/>
    </row>
    <row r="851" spans="2:11" s="434" customFormat="1" ht="30" customHeight="1">
      <c r="B851" s="101" t="s">
        <v>113</v>
      </c>
      <c r="C851" s="129">
        <v>25</v>
      </c>
      <c r="D851" s="720" t="s">
        <v>5</v>
      </c>
      <c r="E851" s="720"/>
      <c r="F851" s="720"/>
      <c r="G851" s="720"/>
      <c r="H851" s="720"/>
      <c r="I851" s="102">
        <f>C851/100*I850</f>
        <v>1.64</v>
      </c>
      <c r="J851" s="433"/>
    </row>
    <row r="852" spans="2:11" s="434" customFormat="1" ht="30" customHeight="1" thickBot="1">
      <c r="B852" s="702" t="s">
        <v>64</v>
      </c>
      <c r="C852" s="703"/>
      <c r="D852" s="703"/>
      <c r="E852" s="703"/>
      <c r="F852" s="703"/>
      <c r="G852" s="703"/>
      <c r="H852" s="703"/>
      <c r="I852" s="188">
        <f>I851+I850</f>
        <v>8.2100000000000009</v>
      </c>
      <c r="J852" s="433"/>
    </row>
    <row r="853" spans="2:11" s="434" customFormat="1">
      <c r="B853" s="91"/>
      <c r="C853" s="94"/>
      <c r="D853" s="178"/>
      <c r="E853" s="91"/>
      <c r="F853" s="91"/>
      <c r="G853" s="91"/>
      <c r="H853" s="91"/>
      <c r="I853" s="95"/>
      <c r="J853" s="433"/>
    </row>
    <row r="854" spans="2:11" s="434" customFormat="1">
      <c r="B854" s="91"/>
      <c r="C854" s="94"/>
      <c r="D854" s="178"/>
      <c r="E854" s="91"/>
      <c r="F854" s="91"/>
      <c r="G854" s="91"/>
      <c r="H854" s="91"/>
      <c r="I854" s="95"/>
      <c r="J854" s="433"/>
    </row>
    <row r="855" spans="2:11" s="434" customFormat="1" ht="13.5" thickBot="1">
      <c r="B855" s="91"/>
      <c r="C855" s="94"/>
      <c r="D855" s="178"/>
      <c r="E855" s="91"/>
      <c r="F855" s="91"/>
      <c r="G855" s="91"/>
      <c r="H855" s="91"/>
      <c r="I855" s="95"/>
      <c r="J855" s="433"/>
    </row>
    <row r="856" spans="2:11" s="434" customFormat="1" ht="30" customHeight="1" thickBot="1">
      <c r="B856" s="484" t="s">
        <v>43</v>
      </c>
      <c r="C856" s="484" t="s">
        <v>422</v>
      </c>
      <c r="D856" s="709" t="s">
        <v>45</v>
      </c>
      <c r="E856" s="710"/>
      <c r="F856" s="710"/>
      <c r="G856" s="710"/>
      <c r="H856" s="710"/>
      <c r="I856" s="711"/>
      <c r="J856" s="433"/>
    </row>
    <row r="857" spans="2:11" s="434" customFormat="1" ht="30" customHeight="1">
      <c r="B857" s="712" t="s">
        <v>704</v>
      </c>
      <c r="C857" s="713"/>
      <c r="D857" s="713"/>
      <c r="E857" s="713"/>
      <c r="F857" s="713"/>
      <c r="G857" s="714"/>
      <c r="H857" s="701" t="s">
        <v>705</v>
      </c>
      <c r="I857" s="700"/>
      <c r="J857" s="433"/>
    </row>
    <row r="858" spans="2:11" s="434" customFormat="1" ht="30" customHeight="1">
      <c r="B858" s="706" t="s">
        <v>420</v>
      </c>
      <c r="C858" s="707"/>
      <c r="D858" s="707"/>
      <c r="E858" s="707"/>
      <c r="F858" s="707"/>
      <c r="G858" s="715"/>
      <c r="H858" s="57" t="s">
        <v>66</v>
      </c>
      <c r="I858" s="218" t="s">
        <v>80</v>
      </c>
      <c r="J858" s="433"/>
    </row>
    <row r="859" spans="2:11" s="434" customFormat="1" ht="30" customHeight="1">
      <c r="B859" s="691" t="s">
        <v>46</v>
      </c>
      <c r="C859" s="692"/>
      <c r="D859" s="692"/>
      <c r="E859" s="692"/>
      <c r="F859" s="692"/>
      <c r="G859" s="692"/>
      <c r="H859" s="692"/>
      <c r="I859" s="721"/>
      <c r="J859" s="433"/>
    </row>
    <row r="860" spans="2:11" s="434" customFormat="1" ht="30" customHeight="1">
      <c r="B860" s="185" t="s">
        <v>57</v>
      </c>
      <c r="C860" s="115" t="s">
        <v>68</v>
      </c>
      <c r="D860" s="116" t="s">
        <v>48</v>
      </c>
      <c r="E860" s="116" t="s">
        <v>49</v>
      </c>
      <c r="F860" s="116" t="s">
        <v>50</v>
      </c>
      <c r="G860" s="117" t="s">
        <v>51</v>
      </c>
      <c r="H860" s="117" t="s">
        <v>52</v>
      </c>
      <c r="I860" s="186" t="s">
        <v>53</v>
      </c>
      <c r="J860" s="433"/>
    </row>
    <row r="861" spans="2:11" s="434" customFormat="1" ht="30" customHeight="1">
      <c r="B861" s="189"/>
      <c r="C861" s="179"/>
      <c r="D861" s="180"/>
      <c r="E861" s="114"/>
      <c r="F861" s="114"/>
      <c r="G861" s="55"/>
      <c r="H861" s="55"/>
      <c r="I861" s="100">
        <f>D861*H861</f>
        <v>0</v>
      </c>
      <c r="J861" s="433"/>
    </row>
    <row r="862" spans="2:11" s="434" customFormat="1" ht="30" customHeight="1">
      <c r="B862" s="704"/>
      <c r="C862" s="705"/>
      <c r="D862" s="705"/>
      <c r="E862" s="705"/>
      <c r="F862" s="705"/>
      <c r="G862" s="705"/>
      <c r="H862" s="705"/>
      <c r="I862" s="163">
        <f>SUM(I861:I861)</f>
        <v>0</v>
      </c>
      <c r="J862" s="433"/>
      <c r="K862" s="448">
        <v>2529.71</v>
      </c>
    </row>
    <row r="863" spans="2:11" ht="15.75">
      <c r="B863" s="691" t="s">
        <v>56</v>
      </c>
      <c r="C863" s="692"/>
      <c r="D863" s="692"/>
      <c r="E863" s="692"/>
      <c r="F863" s="692"/>
      <c r="G863" s="692"/>
      <c r="H863" s="692"/>
      <c r="I863" s="693"/>
    </row>
    <row r="864" spans="2:11">
      <c r="B864" s="447" t="s">
        <v>57</v>
      </c>
      <c r="C864" s="53" t="s">
        <v>68</v>
      </c>
      <c r="D864" s="177" t="s">
        <v>48</v>
      </c>
      <c r="E864" s="118"/>
      <c r="F864" s="118"/>
      <c r="G864" s="118"/>
      <c r="H864" s="58" t="s">
        <v>58</v>
      </c>
      <c r="I864" s="187" t="s">
        <v>53</v>
      </c>
    </row>
    <row r="865" spans="2:11">
      <c r="B865" s="529" t="s">
        <v>423</v>
      </c>
      <c r="C865" s="337" t="s">
        <v>59</v>
      </c>
      <c r="D865" s="390">
        <v>0.3</v>
      </c>
      <c r="E865" s="118"/>
      <c r="F865" s="118"/>
      <c r="G865" s="118"/>
      <c r="H865" s="53">
        <f>Insumos!D81</f>
        <v>1.26</v>
      </c>
      <c r="I865" s="100">
        <f>D865*H865</f>
        <v>0.38</v>
      </c>
    </row>
    <row r="866" spans="2:11" ht="30" customHeight="1">
      <c r="B866" s="529" t="s">
        <v>601</v>
      </c>
      <c r="C866" s="337" t="s">
        <v>92</v>
      </c>
      <c r="D866" s="390">
        <v>0.03</v>
      </c>
      <c r="E866" s="118"/>
      <c r="F866" s="118"/>
      <c r="G866" s="118"/>
      <c r="H866" s="53">
        <f>Insumos!D73</f>
        <v>10.29</v>
      </c>
      <c r="I866" s="100">
        <f>D866*H866</f>
        <v>0.31</v>
      </c>
      <c r="K866" s="429"/>
    </row>
    <row r="867" spans="2:11" ht="30" customHeight="1">
      <c r="B867" s="529" t="s">
        <v>429</v>
      </c>
      <c r="C867" s="337" t="s">
        <v>602</v>
      </c>
      <c r="D867" s="390">
        <v>0.04</v>
      </c>
      <c r="E867" s="118"/>
      <c r="F867" s="118"/>
      <c r="G867" s="118"/>
      <c r="H867" s="53">
        <f>Insumos!D76</f>
        <v>74.709999999999994</v>
      </c>
      <c r="I867" s="100">
        <f>D867*H867</f>
        <v>2.99</v>
      </c>
      <c r="K867" s="429"/>
    </row>
    <row r="868" spans="2:11" ht="30" customHeight="1">
      <c r="B868" s="529" t="s">
        <v>430</v>
      </c>
      <c r="C868" s="337" t="s">
        <v>602</v>
      </c>
      <c r="D868" s="390">
        <v>3.3000000000000002E-2</v>
      </c>
      <c r="E868" s="118"/>
      <c r="F868" s="118"/>
      <c r="G868" s="118"/>
      <c r="H868" s="53">
        <f>Insumos!D75</f>
        <v>69.7</v>
      </c>
      <c r="I868" s="100">
        <f>D868*H868</f>
        <v>2.2999999999999998</v>
      </c>
      <c r="K868" s="429"/>
    </row>
    <row r="869" spans="2:11" ht="30" customHeight="1">
      <c r="B869" s="689" t="s">
        <v>55</v>
      </c>
      <c r="C869" s="690"/>
      <c r="D869" s="690"/>
      <c r="E869" s="690"/>
      <c r="F869" s="690"/>
      <c r="G869" s="690"/>
      <c r="H869" s="690"/>
      <c r="I869" s="100">
        <f>SUM(I865:I868)</f>
        <v>5.98</v>
      </c>
      <c r="K869" s="429"/>
    </row>
    <row r="870" spans="2:11" s="434" customFormat="1" ht="30" customHeight="1">
      <c r="B870" s="691" t="s">
        <v>60</v>
      </c>
      <c r="C870" s="692"/>
      <c r="D870" s="692"/>
      <c r="E870" s="692"/>
      <c r="F870" s="692"/>
      <c r="G870" s="692"/>
      <c r="H870" s="692"/>
      <c r="I870" s="693"/>
      <c r="J870" s="433"/>
      <c r="K870" s="448"/>
    </row>
    <row r="871" spans="2:11" s="434" customFormat="1" ht="30" customHeight="1">
      <c r="B871" s="182" t="s">
        <v>57</v>
      </c>
      <c r="C871" s="53" t="s">
        <v>68</v>
      </c>
      <c r="D871" s="58" t="s">
        <v>48</v>
      </c>
      <c r="E871" s="52"/>
      <c r="F871" s="52"/>
      <c r="G871" s="52"/>
      <c r="H871" s="58" t="s">
        <v>58</v>
      </c>
      <c r="I871" s="187" t="s">
        <v>53</v>
      </c>
      <c r="J871" s="433"/>
      <c r="K871" s="448"/>
    </row>
    <row r="872" spans="2:11" s="434" customFormat="1" ht="30" customHeight="1">
      <c r="B872" s="520"/>
      <c r="C872" s="337"/>
      <c r="D872" s="521"/>
      <c r="E872" s="52"/>
      <c r="F872" s="52"/>
      <c r="G872" s="52"/>
      <c r="H872" s="53"/>
      <c r="I872" s="100">
        <f>D872*H872</f>
        <v>0</v>
      </c>
      <c r="J872" s="433"/>
      <c r="K872" s="448"/>
    </row>
    <row r="873" spans="2:11" s="434" customFormat="1" ht="30" customHeight="1">
      <c r="B873" s="689" t="s">
        <v>55</v>
      </c>
      <c r="C873" s="690"/>
      <c r="D873" s="690"/>
      <c r="E873" s="690"/>
      <c r="F873" s="690"/>
      <c r="G873" s="690"/>
      <c r="H873" s="690"/>
      <c r="I873" s="100">
        <f>SUM(I872:I872)</f>
        <v>0</v>
      </c>
      <c r="J873" s="433"/>
      <c r="K873" s="448"/>
    </row>
    <row r="874" spans="2:11" s="434" customFormat="1" ht="30" customHeight="1">
      <c r="B874" s="691" t="s">
        <v>61</v>
      </c>
      <c r="C874" s="692"/>
      <c r="D874" s="692"/>
      <c r="E874" s="692"/>
      <c r="F874" s="692"/>
      <c r="G874" s="692"/>
      <c r="H874" s="692"/>
      <c r="I874" s="693"/>
      <c r="J874" s="433"/>
      <c r="K874" s="448"/>
    </row>
    <row r="875" spans="2:11" s="434" customFormat="1" ht="30" customHeight="1">
      <c r="B875" s="447" t="s">
        <v>57</v>
      </c>
      <c r="C875" s="53" t="s">
        <v>68</v>
      </c>
      <c r="D875" s="177" t="s">
        <v>48</v>
      </c>
      <c r="E875" s="118"/>
      <c r="F875" s="118"/>
      <c r="G875" s="118"/>
      <c r="H875" s="58" t="s">
        <v>58</v>
      </c>
      <c r="I875" s="187" t="s">
        <v>53</v>
      </c>
      <c r="J875" s="433"/>
      <c r="K875" s="448"/>
    </row>
    <row r="876" spans="2:11" s="434" customFormat="1" ht="30" customHeight="1">
      <c r="B876" s="212" t="s">
        <v>114</v>
      </c>
      <c r="C876" s="337" t="s">
        <v>54</v>
      </c>
      <c r="D876" s="390">
        <v>0.8</v>
      </c>
      <c r="E876" s="118"/>
      <c r="F876" s="118"/>
      <c r="G876" s="118"/>
      <c r="H876" s="55">
        <f>Insumos!D17</f>
        <v>8.69</v>
      </c>
      <c r="I876" s="100">
        <f>H876*D876</f>
        <v>6.95</v>
      </c>
      <c r="J876" s="433"/>
      <c r="K876" s="448"/>
    </row>
    <row r="877" spans="2:11" s="434" customFormat="1" ht="30" customHeight="1">
      <c r="B877" s="212" t="s">
        <v>115</v>
      </c>
      <c r="C877" s="337" t="s">
        <v>54</v>
      </c>
      <c r="D877" s="390">
        <v>0.8</v>
      </c>
      <c r="E877" s="118"/>
      <c r="F877" s="118"/>
      <c r="G877" s="118"/>
      <c r="H877" s="55">
        <f>Insumos!D24</f>
        <v>6.53</v>
      </c>
      <c r="I877" s="100">
        <f>H877*D877</f>
        <v>5.22</v>
      </c>
      <c r="J877" s="433"/>
    </row>
    <row r="878" spans="2:11" s="434" customFormat="1" ht="30" customHeight="1">
      <c r="B878" s="689" t="s">
        <v>55</v>
      </c>
      <c r="C878" s="690"/>
      <c r="D878" s="690"/>
      <c r="E878" s="690"/>
      <c r="F878" s="690"/>
      <c r="G878" s="690"/>
      <c r="H878" s="690"/>
      <c r="I878" s="163">
        <f>SUM(I876:I877)</f>
        <v>12.17</v>
      </c>
      <c r="J878" s="433"/>
    </row>
    <row r="879" spans="2:11" s="434" customFormat="1" ht="30" customHeight="1">
      <c r="B879" s="99" t="s">
        <v>62</v>
      </c>
      <c r="C879" s="54">
        <v>1</v>
      </c>
      <c r="D879" s="690" t="s">
        <v>63</v>
      </c>
      <c r="E879" s="690"/>
      <c r="F879" s="690"/>
      <c r="G879" s="690"/>
      <c r="H879" s="690"/>
      <c r="I879" s="163">
        <f>I878+I873+I869+I862</f>
        <v>18.149999999999999</v>
      </c>
      <c r="J879" s="433"/>
    </row>
    <row r="880" spans="2:11" s="434" customFormat="1" ht="30" customHeight="1">
      <c r="B880" s="716" t="s">
        <v>77</v>
      </c>
      <c r="C880" s="717"/>
      <c r="D880" s="717"/>
      <c r="E880" s="717"/>
      <c r="F880" s="717"/>
      <c r="G880" s="717"/>
      <c r="H880" s="717"/>
      <c r="I880" s="100">
        <f>I879/C879</f>
        <v>18.149999999999999</v>
      </c>
      <c r="J880" s="433"/>
    </row>
    <row r="881" spans="2:10" s="434" customFormat="1" ht="30" customHeight="1">
      <c r="B881" s="101" t="s">
        <v>113</v>
      </c>
      <c r="C881" s="129">
        <v>25</v>
      </c>
      <c r="D881" s="720" t="s">
        <v>5</v>
      </c>
      <c r="E881" s="720"/>
      <c r="F881" s="720"/>
      <c r="G881" s="720"/>
      <c r="H881" s="720"/>
      <c r="I881" s="102">
        <f>C881/100*I880</f>
        <v>4.54</v>
      </c>
      <c r="J881" s="433"/>
    </row>
    <row r="882" spans="2:10" s="434" customFormat="1" ht="30" customHeight="1" thickBot="1">
      <c r="B882" s="702" t="s">
        <v>64</v>
      </c>
      <c r="C882" s="703"/>
      <c r="D882" s="703"/>
      <c r="E882" s="703"/>
      <c r="F882" s="703"/>
      <c r="G882" s="703"/>
      <c r="H882" s="703"/>
      <c r="I882" s="188">
        <f>I881+I880</f>
        <v>22.69</v>
      </c>
      <c r="J882" s="433"/>
    </row>
    <row r="883" spans="2:10" s="434" customFormat="1">
      <c r="B883" s="91"/>
      <c r="C883" s="94"/>
      <c r="D883" s="178"/>
      <c r="E883" s="91"/>
      <c r="F883" s="91"/>
      <c r="G883" s="91"/>
      <c r="H883" s="91"/>
      <c r="I883" s="95"/>
      <c r="J883" s="433"/>
    </row>
    <row r="884" spans="2:10" s="434" customFormat="1">
      <c r="B884" s="91"/>
      <c r="C884" s="94"/>
      <c r="D884" s="178"/>
      <c r="E884" s="91"/>
      <c r="F884" s="91"/>
      <c r="G884" s="91"/>
      <c r="H884" s="91"/>
      <c r="I884" s="95"/>
      <c r="J884" s="433"/>
    </row>
    <row r="885" spans="2:10" s="434" customFormat="1" ht="13.5" thickBot="1">
      <c r="B885" s="91"/>
      <c r="C885" s="94"/>
      <c r="D885" s="178"/>
      <c r="E885" s="91"/>
      <c r="F885" s="91"/>
      <c r="G885" s="91"/>
      <c r="H885" s="91"/>
      <c r="I885" s="95"/>
      <c r="J885" s="433"/>
    </row>
    <row r="886" spans="2:10" s="434" customFormat="1" ht="30" customHeight="1" thickBot="1">
      <c r="B886" s="484" t="s">
        <v>43</v>
      </c>
      <c r="C886" s="484" t="s">
        <v>459</v>
      </c>
      <c r="D886" s="709" t="s">
        <v>45</v>
      </c>
      <c r="E886" s="710"/>
      <c r="F886" s="710"/>
      <c r="G886" s="710"/>
      <c r="H886" s="710"/>
      <c r="I886" s="711"/>
      <c r="J886" s="433"/>
    </row>
    <row r="887" spans="2:10" s="434" customFormat="1" ht="30" customHeight="1">
      <c r="B887" s="712" t="s">
        <v>704</v>
      </c>
      <c r="C887" s="713"/>
      <c r="D887" s="713"/>
      <c r="E887" s="713"/>
      <c r="F887" s="713"/>
      <c r="G887" s="714"/>
      <c r="H887" s="701" t="s">
        <v>705</v>
      </c>
      <c r="I887" s="700"/>
      <c r="J887" s="433"/>
    </row>
    <row r="888" spans="2:10" s="434" customFormat="1" ht="30" customHeight="1">
      <c r="B888" s="706" t="s">
        <v>457</v>
      </c>
      <c r="C888" s="707"/>
      <c r="D888" s="707"/>
      <c r="E888" s="707"/>
      <c r="F888" s="707"/>
      <c r="G888" s="715"/>
      <c r="H888" s="57" t="s">
        <v>66</v>
      </c>
      <c r="I888" s="224" t="s">
        <v>615</v>
      </c>
      <c r="J888" s="433"/>
    </row>
    <row r="889" spans="2:10" ht="15.75">
      <c r="B889" s="691" t="s">
        <v>46</v>
      </c>
      <c r="C889" s="692"/>
      <c r="D889" s="692"/>
      <c r="E889" s="692"/>
      <c r="F889" s="692"/>
      <c r="G889" s="692"/>
      <c r="H889" s="692"/>
      <c r="I889" s="721"/>
    </row>
    <row r="890" spans="2:10" ht="25.5">
      <c r="B890" s="185" t="s">
        <v>57</v>
      </c>
      <c r="C890" s="115" t="s">
        <v>68</v>
      </c>
      <c r="D890" s="116" t="s">
        <v>48</v>
      </c>
      <c r="E890" s="116" t="s">
        <v>49</v>
      </c>
      <c r="F890" s="116" t="s">
        <v>50</v>
      </c>
      <c r="G890" s="117" t="s">
        <v>51</v>
      </c>
      <c r="H890" s="117" t="s">
        <v>52</v>
      </c>
      <c r="I890" s="186" t="s">
        <v>53</v>
      </c>
    </row>
    <row r="891" spans="2:10" ht="25.5">
      <c r="B891" s="274" t="s">
        <v>658</v>
      </c>
      <c r="C891" s="337" t="s">
        <v>54</v>
      </c>
      <c r="D891" s="390">
        <v>1.83</v>
      </c>
      <c r="E891" s="114"/>
      <c r="F891" s="114"/>
      <c r="G891" s="55"/>
      <c r="H891" s="55">
        <f>Insumos!D124</f>
        <v>1.1599999999999999</v>
      </c>
      <c r="I891" s="100">
        <f>D891*H891</f>
        <v>2.12</v>
      </c>
    </row>
    <row r="892" spans="2:10">
      <c r="B892" s="704"/>
      <c r="C892" s="705"/>
      <c r="D892" s="705"/>
      <c r="E892" s="705"/>
      <c r="F892" s="705"/>
      <c r="G892" s="705"/>
      <c r="H892" s="705"/>
      <c r="I892" s="98">
        <f>SUM(I891:I891)</f>
        <v>2.12</v>
      </c>
    </row>
    <row r="893" spans="2:10" ht="15.75">
      <c r="B893" s="691" t="s">
        <v>56</v>
      </c>
      <c r="C893" s="692"/>
      <c r="D893" s="692"/>
      <c r="E893" s="692"/>
      <c r="F893" s="692"/>
      <c r="G893" s="692"/>
      <c r="H893" s="692"/>
      <c r="I893" s="693"/>
    </row>
    <row r="894" spans="2:10" ht="30" customHeight="1">
      <c r="B894" s="447" t="s">
        <v>57</v>
      </c>
      <c r="C894" s="53" t="s">
        <v>68</v>
      </c>
      <c r="D894" s="177" t="s">
        <v>48</v>
      </c>
      <c r="E894" s="118"/>
      <c r="F894" s="118"/>
      <c r="G894" s="118"/>
      <c r="H894" s="58" t="s">
        <v>58</v>
      </c>
      <c r="I894" s="187" t="s">
        <v>53</v>
      </c>
    </row>
    <row r="895" spans="2:10" ht="30" customHeight="1">
      <c r="B895" s="231" t="s">
        <v>498</v>
      </c>
      <c r="C895" s="446" t="s">
        <v>502</v>
      </c>
      <c r="D895" s="387">
        <v>1</v>
      </c>
      <c r="E895" s="118"/>
      <c r="F895" s="118"/>
      <c r="G895" s="118"/>
      <c r="H895" s="53">
        <f>Insumos!D116</f>
        <v>60.9</v>
      </c>
      <c r="I895" s="100">
        <f>D895*H895</f>
        <v>60.9</v>
      </c>
    </row>
    <row r="896" spans="2:10" s="434" customFormat="1" ht="30" customHeight="1">
      <c r="B896" s="231" t="s">
        <v>659</v>
      </c>
      <c r="C896" s="446" t="s">
        <v>71</v>
      </c>
      <c r="D896" s="387">
        <v>15.6</v>
      </c>
      <c r="E896" s="118"/>
      <c r="F896" s="118"/>
      <c r="G896" s="118"/>
      <c r="H896" s="53">
        <f>Insumos!D118</f>
        <v>8.67</v>
      </c>
      <c r="I896" s="100">
        <f>D896*H896</f>
        <v>135.25</v>
      </c>
      <c r="J896" s="433"/>
    </row>
    <row r="897" spans="2:10" s="434" customFormat="1" ht="30" customHeight="1">
      <c r="B897" s="231" t="s">
        <v>660</v>
      </c>
      <c r="C897" s="446" t="s">
        <v>71</v>
      </c>
      <c r="D897" s="387">
        <v>17</v>
      </c>
      <c r="E897" s="118"/>
      <c r="F897" s="118"/>
      <c r="G897" s="118"/>
      <c r="H897" s="53">
        <f>Insumos!D120</f>
        <v>53.57</v>
      </c>
      <c r="I897" s="100">
        <f t="shared" ref="I897:I903" si="8">D897*H897</f>
        <v>910.69</v>
      </c>
      <c r="J897" s="433"/>
    </row>
    <row r="898" spans="2:10" s="434" customFormat="1" ht="30" customHeight="1">
      <c r="B898" s="231" t="s">
        <v>661</v>
      </c>
      <c r="C898" s="446" t="s">
        <v>71</v>
      </c>
      <c r="D898" s="387">
        <v>2</v>
      </c>
      <c r="E898" s="118"/>
      <c r="F898" s="118"/>
      <c r="G898" s="118"/>
      <c r="H898" s="53">
        <f>Insumos!D121</f>
        <v>86.63</v>
      </c>
      <c r="I898" s="100">
        <f t="shared" si="8"/>
        <v>173.26</v>
      </c>
      <c r="J898" s="433"/>
    </row>
    <row r="899" spans="2:10" s="434" customFormat="1" ht="30" customHeight="1">
      <c r="B899" s="515" t="s">
        <v>662</v>
      </c>
      <c r="C899" s="446" t="s">
        <v>59</v>
      </c>
      <c r="D899" s="387">
        <v>4</v>
      </c>
      <c r="E899" s="118"/>
      <c r="F899" s="118"/>
      <c r="G899" s="118"/>
      <c r="H899" s="53">
        <f>Insumos!D122</f>
        <v>13.77</v>
      </c>
      <c r="I899" s="100">
        <f t="shared" si="8"/>
        <v>55.08</v>
      </c>
      <c r="J899" s="433"/>
    </row>
    <row r="900" spans="2:10" s="434" customFormat="1" ht="30" customHeight="1">
      <c r="B900" s="231" t="s">
        <v>603</v>
      </c>
      <c r="C900" s="446" t="s">
        <v>74</v>
      </c>
      <c r="D900" s="387">
        <v>0.4</v>
      </c>
      <c r="E900" s="118"/>
      <c r="F900" s="118"/>
      <c r="G900" s="118"/>
      <c r="H900" s="53">
        <f>Insumos!D123</f>
        <v>17.12</v>
      </c>
      <c r="I900" s="100">
        <f t="shared" si="8"/>
        <v>6.85</v>
      </c>
      <c r="J900" s="433"/>
    </row>
    <row r="901" spans="2:10" s="434" customFormat="1" ht="30" customHeight="1">
      <c r="B901" s="493" t="s">
        <v>429</v>
      </c>
      <c r="C901" s="446" t="s">
        <v>602</v>
      </c>
      <c r="D901" s="387">
        <v>1.5</v>
      </c>
      <c r="E901" s="118"/>
      <c r="F901" s="118"/>
      <c r="G901" s="118"/>
      <c r="H901" s="53">
        <f>Insumos!D76</f>
        <v>74.709999999999994</v>
      </c>
      <c r="I901" s="100">
        <f t="shared" si="8"/>
        <v>112.07</v>
      </c>
      <c r="J901" s="433"/>
    </row>
    <row r="902" spans="2:10" s="434" customFormat="1" ht="30" customHeight="1">
      <c r="B902" s="516" t="s">
        <v>604</v>
      </c>
      <c r="C902" s="337" t="s">
        <v>602</v>
      </c>
      <c r="D902" s="387">
        <v>1</v>
      </c>
      <c r="E902" s="118"/>
      <c r="F902" s="118"/>
      <c r="G902" s="118"/>
      <c r="H902" s="53">
        <f>Insumos!D126</f>
        <v>95.9</v>
      </c>
      <c r="I902" s="100">
        <f t="shared" si="8"/>
        <v>95.9</v>
      </c>
      <c r="J902" s="433"/>
    </row>
    <row r="903" spans="2:10" s="434" customFormat="1" ht="30" customHeight="1">
      <c r="B903" s="523" t="s">
        <v>605</v>
      </c>
      <c r="C903" s="524" t="s">
        <v>71</v>
      </c>
      <c r="D903" s="525">
        <v>0.8</v>
      </c>
      <c r="E903" s="526"/>
      <c r="F903" s="526"/>
      <c r="G903" s="118"/>
      <c r="H903" s="53">
        <f>Insumos!D125</f>
        <v>5.97</v>
      </c>
      <c r="I903" s="100">
        <f t="shared" si="8"/>
        <v>4.78</v>
      </c>
      <c r="J903" s="433"/>
    </row>
    <row r="904" spans="2:10" s="434" customFormat="1" ht="30" customHeight="1">
      <c r="B904" s="718" t="s">
        <v>55</v>
      </c>
      <c r="C904" s="719"/>
      <c r="D904" s="719"/>
      <c r="E904" s="719"/>
      <c r="F904" s="719"/>
      <c r="G904" s="690"/>
      <c r="H904" s="690"/>
      <c r="I904" s="100">
        <f>SUM(I895:I903)</f>
        <v>1554.78</v>
      </c>
      <c r="J904" s="433"/>
    </row>
    <row r="905" spans="2:10" s="434" customFormat="1" ht="30" customHeight="1">
      <c r="B905" s="691" t="s">
        <v>60</v>
      </c>
      <c r="C905" s="692"/>
      <c r="D905" s="692"/>
      <c r="E905" s="692"/>
      <c r="F905" s="692"/>
      <c r="G905" s="692"/>
      <c r="H905" s="692"/>
      <c r="I905" s="693"/>
      <c r="J905" s="433"/>
    </row>
    <row r="906" spans="2:10" s="434" customFormat="1" ht="30" customHeight="1">
      <c r="B906" s="182" t="s">
        <v>57</v>
      </c>
      <c r="C906" s="53" t="s">
        <v>68</v>
      </c>
      <c r="D906" s="58" t="s">
        <v>48</v>
      </c>
      <c r="E906" s="52"/>
      <c r="F906" s="52"/>
      <c r="G906" s="52"/>
      <c r="H906" s="58" t="s">
        <v>58</v>
      </c>
      <c r="I906" s="187" t="s">
        <v>53</v>
      </c>
      <c r="J906" s="433"/>
    </row>
    <row r="907" spans="2:10" s="434" customFormat="1" ht="30" customHeight="1">
      <c r="B907" s="520"/>
      <c r="C907" s="337"/>
      <c r="D907" s="521"/>
      <c r="E907" s="52"/>
      <c r="F907" s="52"/>
      <c r="G907" s="52"/>
      <c r="H907" s="53"/>
      <c r="I907" s="100">
        <f>D907*H907</f>
        <v>0</v>
      </c>
      <c r="J907" s="433"/>
    </row>
    <row r="908" spans="2:10" s="434" customFormat="1" ht="30" customHeight="1">
      <c r="B908" s="689" t="s">
        <v>55</v>
      </c>
      <c r="C908" s="690"/>
      <c r="D908" s="690"/>
      <c r="E908" s="690"/>
      <c r="F908" s="690"/>
      <c r="G908" s="690"/>
      <c r="H908" s="690"/>
      <c r="I908" s="100">
        <f>SUM(I907:I907)</f>
        <v>0</v>
      </c>
      <c r="J908" s="433"/>
    </row>
    <row r="909" spans="2:10" s="434" customFormat="1" ht="30" customHeight="1">
      <c r="B909" s="691" t="s">
        <v>61</v>
      </c>
      <c r="C909" s="692"/>
      <c r="D909" s="692"/>
      <c r="E909" s="692"/>
      <c r="F909" s="692"/>
      <c r="G909" s="692"/>
      <c r="H909" s="692"/>
      <c r="I909" s="693"/>
      <c r="J909" s="433"/>
    </row>
    <row r="910" spans="2:10" s="434" customFormat="1" ht="30" customHeight="1">
      <c r="B910" s="449" t="s">
        <v>57</v>
      </c>
      <c r="C910" s="450" t="s">
        <v>68</v>
      </c>
      <c r="D910" s="451" t="s">
        <v>48</v>
      </c>
      <c r="E910" s="452"/>
      <c r="F910" s="452"/>
      <c r="G910" s="452"/>
      <c r="H910" s="453" t="s">
        <v>58</v>
      </c>
      <c r="I910" s="100" t="s">
        <v>53</v>
      </c>
      <c r="J910" s="433"/>
    </row>
    <row r="911" spans="2:10" s="434" customFormat="1" ht="30" customHeight="1">
      <c r="B911" s="496" t="s">
        <v>493</v>
      </c>
      <c r="C911" s="497" t="s">
        <v>54</v>
      </c>
      <c r="D911" s="375">
        <v>2</v>
      </c>
      <c r="E911" s="503"/>
      <c r="F911" s="503"/>
      <c r="G911" s="503"/>
      <c r="H911" s="225">
        <f>Insumos!D22</f>
        <v>8.69</v>
      </c>
      <c r="I911" s="527">
        <f>H911*D911</f>
        <v>17.38</v>
      </c>
      <c r="J911" s="433"/>
    </row>
    <row r="912" spans="2:10" s="434" customFormat="1" ht="30" customHeight="1">
      <c r="B912" s="518" t="s">
        <v>114</v>
      </c>
      <c r="C912" s="519" t="s">
        <v>54</v>
      </c>
      <c r="D912" s="528">
        <v>3</v>
      </c>
      <c r="E912" s="503"/>
      <c r="F912" s="503"/>
      <c r="G912" s="503"/>
      <c r="H912" s="225">
        <f>Insumos!D17</f>
        <v>8.69</v>
      </c>
      <c r="I912" s="527">
        <f>H912*D912</f>
        <v>26.07</v>
      </c>
      <c r="J912" s="433"/>
    </row>
    <row r="913" spans="2:10" s="434" customFormat="1" ht="30" customHeight="1">
      <c r="B913" s="689" t="s">
        <v>55</v>
      </c>
      <c r="C913" s="690"/>
      <c r="D913" s="690"/>
      <c r="E913" s="690"/>
      <c r="F913" s="690"/>
      <c r="G913" s="690"/>
      <c r="H913" s="690"/>
      <c r="I913" s="163">
        <f>SUM(I911:I912)</f>
        <v>43.45</v>
      </c>
      <c r="J913" s="433"/>
    </row>
    <row r="914" spans="2:10" s="434" customFormat="1" ht="30" customHeight="1">
      <c r="B914" s="99" t="s">
        <v>62</v>
      </c>
      <c r="C914" s="54">
        <v>1</v>
      </c>
      <c r="D914" s="690" t="s">
        <v>63</v>
      </c>
      <c r="E914" s="690"/>
      <c r="F914" s="690"/>
      <c r="G914" s="690"/>
      <c r="H914" s="690"/>
      <c r="I914" s="163">
        <f>I913+I908+I904+I892</f>
        <v>1600.35</v>
      </c>
      <c r="J914" s="433"/>
    </row>
    <row r="915" spans="2:10" s="434" customFormat="1" ht="30" customHeight="1">
      <c r="B915" s="716" t="s">
        <v>77</v>
      </c>
      <c r="C915" s="717"/>
      <c r="D915" s="717"/>
      <c r="E915" s="717"/>
      <c r="F915" s="717"/>
      <c r="G915" s="717"/>
      <c r="H915" s="717"/>
      <c r="I915" s="100">
        <f>I914/C914</f>
        <v>1600.35</v>
      </c>
      <c r="J915" s="433"/>
    </row>
    <row r="916" spans="2:10" s="434" customFormat="1" ht="30" customHeight="1">
      <c r="B916" s="101" t="s">
        <v>113</v>
      </c>
      <c r="C916" s="129">
        <v>25</v>
      </c>
      <c r="D916" s="720" t="s">
        <v>5</v>
      </c>
      <c r="E916" s="720"/>
      <c r="F916" s="720"/>
      <c r="G916" s="720"/>
      <c r="H916" s="720"/>
      <c r="I916" s="102">
        <f>C916/100*I915</f>
        <v>400.09</v>
      </c>
      <c r="J916" s="433"/>
    </row>
    <row r="917" spans="2:10" s="434" customFormat="1" ht="16.5" thickBot="1">
      <c r="B917" s="702" t="s">
        <v>64</v>
      </c>
      <c r="C917" s="703"/>
      <c r="D917" s="703"/>
      <c r="E917" s="703"/>
      <c r="F917" s="703"/>
      <c r="G917" s="703"/>
      <c r="H917" s="703"/>
      <c r="I917" s="188">
        <f>I916+I915</f>
        <v>2000.44</v>
      </c>
      <c r="J917" s="433"/>
    </row>
    <row r="918" spans="2:10" s="434" customFormat="1">
      <c r="B918" s="91"/>
      <c r="C918" s="94"/>
      <c r="D918" s="178"/>
      <c r="E918" s="91"/>
      <c r="F918" s="91"/>
      <c r="G918" s="91"/>
      <c r="H918" s="91"/>
      <c r="I918" s="95"/>
      <c r="J918" s="433"/>
    </row>
    <row r="919" spans="2:10" s="434" customFormat="1">
      <c r="B919" s="91"/>
      <c r="C919" s="94"/>
      <c r="D919" s="178"/>
      <c r="E919" s="91"/>
      <c r="F919" s="91"/>
      <c r="G919" s="91"/>
      <c r="H919" s="91"/>
      <c r="I919" s="95"/>
      <c r="J919" s="433"/>
    </row>
    <row r="920" spans="2:10" s="434" customFormat="1" ht="13.5" thickBot="1">
      <c r="B920" s="91"/>
      <c r="C920" s="94"/>
      <c r="D920" s="178"/>
      <c r="E920" s="91"/>
      <c r="F920" s="91"/>
      <c r="G920" s="91"/>
      <c r="H920" s="91"/>
      <c r="I920" s="95"/>
      <c r="J920" s="433"/>
    </row>
    <row r="921" spans="2:10" s="434" customFormat="1" ht="30" customHeight="1" thickBot="1">
      <c r="B921" s="484" t="s">
        <v>43</v>
      </c>
      <c r="C921" s="484" t="s">
        <v>460</v>
      </c>
      <c r="D921" s="709" t="s">
        <v>45</v>
      </c>
      <c r="E921" s="710"/>
      <c r="F921" s="710"/>
      <c r="G921" s="710"/>
      <c r="H921" s="710"/>
      <c r="I921" s="711"/>
      <c r="J921" s="433"/>
    </row>
    <row r="922" spans="2:10" s="434" customFormat="1" ht="30" customHeight="1">
      <c r="B922" s="712" t="s">
        <v>704</v>
      </c>
      <c r="C922" s="713"/>
      <c r="D922" s="713"/>
      <c r="E922" s="713"/>
      <c r="F922" s="713"/>
      <c r="G922" s="714"/>
      <c r="H922" s="701" t="s">
        <v>705</v>
      </c>
      <c r="I922" s="700"/>
      <c r="J922" s="433"/>
    </row>
    <row r="923" spans="2:10" s="434" customFormat="1" ht="30" customHeight="1">
      <c r="B923" s="706" t="s">
        <v>462</v>
      </c>
      <c r="C923" s="707"/>
      <c r="D923" s="707"/>
      <c r="E923" s="707"/>
      <c r="F923" s="707"/>
      <c r="G923" s="715"/>
      <c r="H923" s="57" t="s">
        <v>66</v>
      </c>
      <c r="I923" s="224" t="s">
        <v>615</v>
      </c>
      <c r="J923" s="433"/>
    </row>
    <row r="924" spans="2:10" ht="15.75">
      <c r="B924" s="691" t="s">
        <v>46</v>
      </c>
      <c r="C924" s="692"/>
      <c r="D924" s="692"/>
      <c r="E924" s="692"/>
      <c r="F924" s="692"/>
      <c r="G924" s="692"/>
      <c r="H924" s="692"/>
      <c r="I924" s="721"/>
    </row>
    <row r="925" spans="2:10" ht="25.5">
      <c r="B925" s="185" t="s">
        <v>57</v>
      </c>
      <c r="C925" s="115" t="s">
        <v>68</v>
      </c>
      <c r="D925" s="116" t="s">
        <v>48</v>
      </c>
      <c r="E925" s="116" t="s">
        <v>49</v>
      </c>
      <c r="F925" s="116" t="s">
        <v>50</v>
      </c>
      <c r="G925" s="117" t="s">
        <v>51</v>
      </c>
      <c r="H925" s="117" t="s">
        <v>52</v>
      </c>
      <c r="I925" s="186" t="s">
        <v>53</v>
      </c>
    </row>
    <row r="926" spans="2:10">
      <c r="B926" s="231"/>
      <c r="C926" s="337"/>
      <c r="D926" s="180"/>
      <c r="E926" s="114"/>
      <c r="F926" s="114"/>
      <c r="G926" s="55"/>
      <c r="H926" s="55"/>
      <c r="I926" s="100">
        <f>D926*H926</f>
        <v>0</v>
      </c>
    </row>
    <row r="927" spans="2:10">
      <c r="B927" s="704"/>
      <c r="C927" s="705"/>
      <c r="D927" s="705"/>
      <c r="E927" s="705"/>
      <c r="F927" s="705"/>
      <c r="G927" s="705"/>
      <c r="H927" s="705"/>
      <c r="I927" s="163">
        <f>SUM(I926:I926)</f>
        <v>0</v>
      </c>
    </row>
    <row r="928" spans="2:10" ht="30" customHeight="1">
      <c r="B928" s="691" t="s">
        <v>56</v>
      </c>
      <c r="C928" s="692"/>
      <c r="D928" s="692"/>
      <c r="E928" s="692"/>
      <c r="F928" s="692"/>
      <c r="G928" s="692"/>
      <c r="H928" s="692"/>
      <c r="I928" s="693"/>
    </row>
    <row r="929" spans="2:10" ht="30" customHeight="1">
      <c r="B929" s="447" t="s">
        <v>57</v>
      </c>
      <c r="C929" s="53" t="s">
        <v>68</v>
      </c>
      <c r="D929" s="177" t="s">
        <v>48</v>
      </c>
      <c r="E929" s="118"/>
      <c r="F929" s="118"/>
      <c r="G929" s="118"/>
      <c r="H929" s="58" t="s">
        <v>58</v>
      </c>
      <c r="I929" s="187" t="s">
        <v>53</v>
      </c>
    </row>
    <row r="930" spans="2:10" ht="30" customHeight="1">
      <c r="B930" s="494" t="s">
        <v>657</v>
      </c>
      <c r="C930" s="337" t="s">
        <v>615</v>
      </c>
      <c r="D930" s="390">
        <v>1</v>
      </c>
      <c r="E930" s="118"/>
      <c r="F930" s="118"/>
      <c r="G930" s="118"/>
      <c r="H930" s="53">
        <f>Insumos!D105</f>
        <v>817.1</v>
      </c>
      <c r="I930" s="100">
        <f>D930*H930</f>
        <v>817.1</v>
      </c>
    </row>
    <row r="931" spans="2:10" ht="30" customHeight="1">
      <c r="B931" s="689" t="s">
        <v>55</v>
      </c>
      <c r="C931" s="690"/>
      <c r="D931" s="690"/>
      <c r="E931" s="690"/>
      <c r="F931" s="690"/>
      <c r="G931" s="690"/>
      <c r="H931" s="690"/>
      <c r="I931" s="100">
        <f>SUM(I930:I930)</f>
        <v>817.1</v>
      </c>
    </row>
    <row r="932" spans="2:10" s="434" customFormat="1" ht="30" customHeight="1">
      <c r="B932" s="691" t="s">
        <v>60</v>
      </c>
      <c r="C932" s="692"/>
      <c r="D932" s="692"/>
      <c r="E932" s="692"/>
      <c r="F932" s="692"/>
      <c r="G932" s="692"/>
      <c r="H932" s="692"/>
      <c r="I932" s="693"/>
      <c r="J932" s="433"/>
    </row>
    <row r="933" spans="2:10" s="434" customFormat="1" ht="30" customHeight="1">
      <c r="B933" s="182" t="s">
        <v>57</v>
      </c>
      <c r="C933" s="53" t="s">
        <v>68</v>
      </c>
      <c r="D933" s="58" t="s">
        <v>48</v>
      </c>
      <c r="E933" s="52"/>
      <c r="F933" s="52"/>
      <c r="G933" s="52"/>
      <c r="H933" s="58" t="s">
        <v>58</v>
      </c>
      <c r="I933" s="187" t="s">
        <v>53</v>
      </c>
      <c r="J933" s="433"/>
    </row>
    <row r="934" spans="2:10" s="434" customFormat="1" ht="30" customHeight="1">
      <c r="B934" s="520"/>
      <c r="C934" s="337"/>
      <c r="D934" s="521"/>
      <c r="E934" s="52"/>
      <c r="F934" s="52"/>
      <c r="G934" s="52"/>
      <c r="H934" s="53"/>
      <c r="I934" s="100">
        <f>D934*H934</f>
        <v>0</v>
      </c>
      <c r="J934" s="433"/>
    </row>
    <row r="935" spans="2:10" s="434" customFormat="1" ht="30" customHeight="1">
      <c r="B935" s="689" t="s">
        <v>55</v>
      </c>
      <c r="C935" s="690"/>
      <c r="D935" s="690"/>
      <c r="E935" s="690"/>
      <c r="F935" s="690"/>
      <c r="G935" s="690"/>
      <c r="H935" s="690"/>
      <c r="I935" s="100">
        <f>SUM(I934:I934)</f>
        <v>0</v>
      </c>
      <c r="J935" s="433"/>
    </row>
    <row r="936" spans="2:10" s="434" customFormat="1" ht="30" customHeight="1">
      <c r="B936" s="691" t="s">
        <v>61</v>
      </c>
      <c r="C936" s="692"/>
      <c r="D936" s="692"/>
      <c r="E936" s="692"/>
      <c r="F936" s="692"/>
      <c r="G936" s="692"/>
      <c r="H936" s="692"/>
      <c r="I936" s="693"/>
      <c r="J936" s="433"/>
    </row>
    <row r="937" spans="2:10" s="434" customFormat="1" ht="30" customHeight="1">
      <c r="B937" s="447" t="s">
        <v>57</v>
      </c>
      <c r="C937" s="53" t="s">
        <v>68</v>
      </c>
      <c r="D937" s="177" t="s">
        <v>48</v>
      </c>
      <c r="E937" s="118"/>
      <c r="F937" s="118"/>
      <c r="G937" s="118"/>
      <c r="H937" s="58" t="s">
        <v>58</v>
      </c>
      <c r="I937" s="187" t="s">
        <v>53</v>
      </c>
      <c r="J937" s="433"/>
    </row>
    <row r="938" spans="2:10" s="434" customFormat="1" ht="30" customHeight="1">
      <c r="B938" s="496"/>
      <c r="C938" s="497"/>
      <c r="D938" s="522"/>
      <c r="E938" s="118"/>
      <c r="F938" s="118"/>
      <c r="G938" s="118"/>
      <c r="H938" s="55"/>
      <c r="I938" s="100">
        <f>D938*H938</f>
        <v>0</v>
      </c>
      <c r="J938" s="433"/>
    </row>
    <row r="939" spans="2:10" s="434" customFormat="1" ht="30" customHeight="1">
      <c r="B939" s="689" t="s">
        <v>55</v>
      </c>
      <c r="C939" s="690"/>
      <c r="D939" s="690"/>
      <c r="E939" s="690"/>
      <c r="F939" s="690"/>
      <c r="G939" s="690"/>
      <c r="H939" s="690"/>
      <c r="I939" s="163">
        <f>SUM(I938:I938)</f>
        <v>0</v>
      </c>
      <c r="J939" s="433"/>
    </row>
    <row r="940" spans="2:10" s="434" customFormat="1" ht="30" customHeight="1">
      <c r="B940" s="99" t="s">
        <v>62</v>
      </c>
      <c r="C940" s="54">
        <v>1</v>
      </c>
      <c r="D940" s="690" t="s">
        <v>63</v>
      </c>
      <c r="E940" s="690"/>
      <c r="F940" s="690"/>
      <c r="G940" s="690"/>
      <c r="H940" s="690"/>
      <c r="I940" s="163">
        <f>I939+I935+I931+I927</f>
        <v>817.1</v>
      </c>
      <c r="J940" s="433"/>
    </row>
    <row r="941" spans="2:10" s="434" customFormat="1" ht="30" customHeight="1">
      <c r="B941" s="716" t="s">
        <v>77</v>
      </c>
      <c r="C941" s="717"/>
      <c r="D941" s="717"/>
      <c r="E941" s="717"/>
      <c r="F941" s="717"/>
      <c r="G941" s="717"/>
      <c r="H941" s="717"/>
      <c r="I941" s="100">
        <f>I940/C940</f>
        <v>817.1</v>
      </c>
      <c r="J941" s="433"/>
    </row>
    <row r="942" spans="2:10" s="434" customFormat="1" ht="30" customHeight="1">
      <c r="B942" s="101" t="s">
        <v>113</v>
      </c>
      <c r="C942" s="129">
        <v>25</v>
      </c>
      <c r="D942" s="720" t="s">
        <v>5</v>
      </c>
      <c r="E942" s="720"/>
      <c r="F942" s="720"/>
      <c r="G942" s="720"/>
      <c r="H942" s="720"/>
      <c r="I942" s="102">
        <f>C942/100*I941</f>
        <v>204.28</v>
      </c>
      <c r="J942" s="433"/>
    </row>
    <row r="943" spans="2:10" s="434" customFormat="1" ht="30" customHeight="1" thickBot="1">
      <c r="B943" s="702" t="s">
        <v>64</v>
      </c>
      <c r="C943" s="703"/>
      <c r="D943" s="703"/>
      <c r="E943" s="703"/>
      <c r="F943" s="703"/>
      <c r="G943" s="703"/>
      <c r="H943" s="703"/>
      <c r="I943" s="188">
        <f>I942+I941</f>
        <v>1021.38</v>
      </c>
      <c r="J943" s="433"/>
    </row>
    <row r="944" spans="2:10" s="434" customFormat="1">
      <c r="B944" s="91"/>
      <c r="C944" s="94"/>
      <c r="D944" s="178"/>
      <c r="E944" s="91"/>
      <c r="F944" s="91"/>
      <c r="G944" s="91"/>
      <c r="H944" s="91"/>
      <c r="I944" s="95"/>
      <c r="J944" s="433"/>
    </row>
    <row r="945" spans="2:10" s="434" customFormat="1">
      <c r="B945" s="91"/>
      <c r="C945" s="94"/>
      <c r="D945" s="178"/>
      <c r="E945" s="91"/>
      <c r="F945" s="91"/>
      <c r="G945" s="91"/>
      <c r="H945" s="91"/>
      <c r="I945" s="95"/>
      <c r="J945" s="433"/>
    </row>
    <row r="946" spans="2:10" s="434" customFormat="1" ht="13.5" thickBot="1">
      <c r="B946" s="91"/>
      <c r="C946" s="94"/>
      <c r="D946" s="178"/>
      <c r="E946" s="91"/>
      <c r="F946" s="91"/>
      <c r="G946" s="91"/>
      <c r="H946" s="91"/>
      <c r="I946" s="95"/>
      <c r="J946" s="433"/>
    </row>
    <row r="947" spans="2:10" s="434" customFormat="1" ht="30" customHeight="1" thickBot="1">
      <c r="B947" s="487" t="s">
        <v>43</v>
      </c>
      <c r="C947" s="484" t="s">
        <v>501</v>
      </c>
      <c r="D947" s="792" t="s">
        <v>45</v>
      </c>
      <c r="E947" s="792"/>
      <c r="F947" s="792"/>
      <c r="G947" s="792"/>
      <c r="H947" s="792"/>
      <c r="I947" s="793"/>
      <c r="J947" s="433"/>
    </row>
    <row r="948" spans="2:10" s="434" customFormat="1" ht="30" customHeight="1">
      <c r="B948" s="712" t="s">
        <v>704</v>
      </c>
      <c r="C948" s="713"/>
      <c r="D948" s="713"/>
      <c r="E948" s="713"/>
      <c r="F948" s="713"/>
      <c r="G948" s="714"/>
      <c r="H948" s="699" t="s">
        <v>705</v>
      </c>
      <c r="I948" s="700"/>
      <c r="J948" s="433"/>
    </row>
    <row r="949" spans="2:10" s="434" customFormat="1" ht="30" customHeight="1">
      <c r="B949" s="790" t="s">
        <v>606</v>
      </c>
      <c r="C949" s="791"/>
      <c r="D949" s="791"/>
      <c r="E949" s="791"/>
      <c r="F949" s="791"/>
      <c r="G949" s="791"/>
      <c r="H949" s="479" t="s">
        <v>66</v>
      </c>
      <c r="I949" s="442" t="s">
        <v>615</v>
      </c>
      <c r="J949" s="433"/>
    </row>
    <row r="950" spans="2:10" s="434" customFormat="1" ht="30" customHeight="1">
      <c r="B950" s="794" t="s">
        <v>46</v>
      </c>
      <c r="C950" s="795"/>
      <c r="D950" s="795"/>
      <c r="E950" s="795"/>
      <c r="F950" s="795"/>
      <c r="G950" s="795"/>
      <c r="H950" s="796"/>
      <c r="I950" s="797"/>
      <c r="J950" s="433"/>
    </row>
    <row r="951" spans="2:10" s="434" customFormat="1" ht="30" customHeight="1">
      <c r="B951" s="435" t="s">
        <v>57</v>
      </c>
      <c r="C951" s="337" t="s">
        <v>68</v>
      </c>
      <c r="D951" s="344" t="s">
        <v>48</v>
      </c>
      <c r="E951" s="387" t="s">
        <v>49</v>
      </c>
      <c r="F951" s="387" t="s">
        <v>50</v>
      </c>
      <c r="G951" s="388" t="s">
        <v>51</v>
      </c>
      <c r="H951" s="388" t="s">
        <v>52</v>
      </c>
      <c r="I951" s="389" t="s">
        <v>53</v>
      </c>
      <c r="J951" s="433"/>
    </row>
    <row r="952" spans="2:10" ht="25.5">
      <c r="B952" s="231" t="s">
        <v>656</v>
      </c>
      <c r="C952" s="337" t="s">
        <v>54</v>
      </c>
      <c r="D952" s="387">
        <v>0.83</v>
      </c>
      <c r="E952" s="390"/>
      <c r="F952" s="390"/>
      <c r="G952" s="426"/>
      <c r="H952" s="426">
        <f>Insumos!D124</f>
        <v>1.1599999999999999</v>
      </c>
      <c r="I952" s="164">
        <f>D952*H952</f>
        <v>0.96</v>
      </c>
    </row>
    <row r="953" spans="2:10">
      <c r="B953" s="799" t="s">
        <v>55</v>
      </c>
      <c r="C953" s="800"/>
      <c r="D953" s="800"/>
      <c r="E953" s="800"/>
      <c r="F953" s="800"/>
      <c r="G953" s="800"/>
      <c r="H953" s="800"/>
      <c r="I953" s="439">
        <f>SUM(I952:I952)</f>
        <v>0.96</v>
      </c>
    </row>
    <row r="954" spans="2:10">
      <c r="B954" s="696" t="s">
        <v>56</v>
      </c>
      <c r="C954" s="697"/>
      <c r="D954" s="697"/>
      <c r="E954" s="697"/>
      <c r="F954" s="697"/>
      <c r="G954" s="697"/>
      <c r="H954" s="697"/>
      <c r="I954" s="698"/>
    </row>
    <row r="955" spans="2:10" s="434" customFormat="1" ht="30" customHeight="1">
      <c r="B955" s="445" t="s">
        <v>57</v>
      </c>
      <c r="C955" s="446" t="s">
        <v>68</v>
      </c>
      <c r="D955" s="344" t="s">
        <v>48</v>
      </c>
      <c r="E955" s="344"/>
      <c r="F955" s="344"/>
      <c r="G955" s="344"/>
      <c r="H955" s="337" t="s">
        <v>58</v>
      </c>
      <c r="I955" s="389" t="s">
        <v>53</v>
      </c>
      <c r="J955" s="433"/>
    </row>
    <row r="956" spans="2:10" s="434" customFormat="1" ht="30" customHeight="1">
      <c r="B956" s="231" t="s">
        <v>607</v>
      </c>
      <c r="C956" s="446" t="s">
        <v>59</v>
      </c>
      <c r="D956" s="387">
        <v>1</v>
      </c>
      <c r="E956" s="344"/>
      <c r="F956" s="344"/>
      <c r="G956" s="344"/>
      <c r="H956" s="423">
        <f>Insumos!D115</f>
        <v>65</v>
      </c>
      <c r="I956" s="424">
        <f t="shared" ref="I956:I963" si="9">D956*H956</f>
        <v>65</v>
      </c>
      <c r="J956" s="433"/>
    </row>
    <row r="957" spans="2:10" s="434" customFormat="1" ht="30" customHeight="1">
      <c r="B957" s="231" t="s">
        <v>616</v>
      </c>
      <c r="C957" s="446" t="s">
        <v>71</v>
      </c>
      <c r="D957" s="387">
        <v>5.2</v>
      </c>
      <c r="E957" s="344"/>
      <c r="F957" s="344"/>
      <c r="G957" s="344"/>
      <c r="H957" s="423">
        <f>Insumos!D119</f>
        <v>35.72</v>
      </c>
      <c r="I957" s="424">
        <f t="shared" si="9"/>
        <v>185.74</v>
      </c>
      <c r="J957" s="433"/>
    </row>
    <row r="958" spans="2:10" s="434" customFormat="1" ht="30" customHeight="1">
      <c r="B958" s="515" t="s">
        <v>617</v>
      </c>
      <c r="C958" s="446" t="s">
        <v>71</v>
      </c>
      <c r="D958" s="387">
        <v>1</v>
      </c>
      <c r="E958" s="344"/>
      <c r="F958" s="344"/>
      <c r="G958" s="344"/>
      <c r="H958" s="423">
        <f>Insumos!D117</f>
        <v>47.26</v>
      </c>
      <c r="I958" s="424">
        <f t="shared" si="9"/>
        <v>47.26</v>
      </c>
      <c r="J958" s="433"/>
    </row>
    <row r="959" spans="2:10" s="434" customFormat="1" ht="30" customHeight="1">
      <c r="B959" s="515" t="s">
        <v>490</v>
      </c>
      <c r="C959" s="446" t="s">
        <v>59</v>
      </c>
      <c r="D959" s="387">
        <v>4</v>
      </c>
      <c r="E959" s="344"/>
      <c r="F959" s="344"/>
      <c r="G959" s="344"/>
      <c r="H959" s="423">
        <f>Insumos!D122</f>
        <v>13.77</v>
      </c>
      <c r="I959" s="424">
        <f t="shared" si="9"/>
        <v>55.08</v>
      </c>
      <c r="J959" s="433"/>
    </row>
    <row r="960" spans="2:10" s="434" customFormat="1" ht="30" customHeight="1">
      <c r="B960" s="231" t="s">
        <v>603</v>
      </c>
      <c r="C960" s="446" t="s">
        <v>74</v>
      </c>
      <c r="D960" s="387">
        <v>0.2</v>
      </c>
      <c r="E960" s="344"/>
      <c r="F960" s="344"/>
      <c r="G960" s="344"/>
      <c r="H960" s="423">
        <f>Insumos!D123</f>
        <v>17.12</v>
      </c>
      <c r="I960" s="424">
        <f t="shared" si="9"/>
        <v>3.42</v>
      </c>
      <c r="J960" s="433"/>
    </row>
    <row r="961" spans="2:10" s="434" customFormat="1" ht="30" customHeight="1">
      <c r="B961" s="493" t="s">
        <v>429</v>
      </c>
      <c r="C961" s="446" t="s">
        <v>602</v>
      </c>
      <c r="D961" s="387">
        <v>0.5</v>
      </c>
      <c r="E961" s="344"/>
      <c r="F961" s="344"/>
      <c r="G961" s="344"/>
      <c r="H961" s="423">
        <f>Insumos!D76</f>
        <v>74.709999999999994</v>
      </c>
      <c r="I961" s="424">
        <f t="shared" si="9"/>
        <v>37.36</v>
      </c>
      <c r="J961" s="433"/>
    </row>
    <row r="962" spans="2:10" s="434" customFormat="1" ht="30" customHeight="1">
      <c r="B962" s="516" t="s">
        <v>604</v>
      </c>
      <c r="C962" s="337" t="s">
        <v>602</v>
      </c>
      <c r="D962" s="387">
        <v>0.25</v>
      </c>
      <c r="E962" s="344"/>
      <c r="F962" s="344"/>
      <c r="G962" s="344"/>
      <c r="H962" s="423">
        <f>Insumos!D126</f>
        <v>95.9</v>
      </c>
      <c r="I962" s="424">
        <f t="shared" si="9"/>
        <v>23.98</v>
      </c>
      <c r="J962" s="433"/>
    </row>
    <row r="963" spans="2:10" s="434" customFormat="1" ht="30" customHeight="1">
      <c r="B963" s="517" t="s">
        <v>605</v>
      </c>
      <c r="C963" s="383" t="s">
        <v>71</v>
      </c>
      <c r="D963" s="387">
        <v>0.4</v>
      </c>
      <c r="E963" s="344"/>
      <c r="F963" s="344"/>
      <c r="G963" s="344"/>
      <c r="H963" s="423">
        <f>Insumos!D125</f>
        <v>5.97</v>
      </c>
      <c r="I963" s="424">
        <f t="shared" si="9"/>
        <v>2.39</v>
      </c>
      <c r="J963" s="433"/>
    </row>
    <row r="964" spans="2:10" s="434" customFormat="1" ht="30" customHeight="1">
      <c r="B964" s="694" t="s">
        <v>55</v>
      </c>
      <c r="C964" s="798"/>
      <c r="D964" s="695"/>
      <c r="E964" s="695"/>
      <c r="F964" s="695"/>
      <c r="G964" s="695"/>
      <c r="H964" s="695"/>
      <c r="I964" s="505">
        <f>SUM(I956:I963)</f>
        <v>420.23</v>
      </c>
      <c r="J964" s="433"/>
    </row>
    <row r="965" spans="2:10" s="434" customFormat="1" ht="30" customHeight="1">
      <c r="B965" s="794" t="s">
        <v>60</v>
      </c>
      <c r="C965" s="795"/>
      <c r="D965" s="795"/>
      <c r="E965" s="795"/>
      <c r="F965" s="795"/>
      <c r="G965" s="795"/>
      <c r="H965" s="795"/>
      <c r="I965" s="797"/>
      <c r="J965" s="433"/>
    </row>
    <row r="966" spans="2:10" s="434" customFormat="1" ht="30" customHeight="1">
      <c r="B966" s="347" t="s">
        <v>57</v>
      </c>
      <c r="C966" s="343" t="s">
        <v>68</v>
      </c>
      <c r="D966" s="343" t="s">
        <v>48</v>
      </c>
      <c r="E966" s="343"/>
      <c r="F966" s="343"/>
      <c r="G966" s="343"/>
      <c r="H966" s="337" t="s">
        <v>58</v>
      </c>
      <c r="I966" s="440" t="s">
        <v>53</v>
      </c>
      <c r="J966" s="433"/>
    </row>
    <row r="967" spans="2:10" s="434" customFormat="1" ht="30" customHeight="1">
      <c r="B967" s="348"/>
      <c r="C967" s="506"/>
      <c r="D967" s="507"/>
      <c r="E967" s="343"/>
      <c r="F967" s="344"/>
      <c r="G967" s="344"/>
      <c r="H967" s="55"/>
      <c r="I967" s="505">
        <f>D967*H967</f>
        <v>0</v>
      </c>
      <c r="J967" s="433"/>
    </row>
    <row r="968" spans="2:10" s="434" customFormat="1" ht="30" customHeight="1">
      <c r="B968" s="694" t="s">
        <v>55</v>
      </c>
      <c r="C968" s="695"/>
      <c r="D968" s="695"/>
      <c r="E968" s="695"/>
      <c r="F968" s="695"/>
      <c r="G968" s="695"/>
      <c r="H968" s="695"/>
      <c r="I968" s="505">
        <f>SUM(I967:I967)</f>
        <v>0</v>
      </c>
      <c r="J968" s="433"/>
    </row>
    <row r="969" spans="2:10" s="434" customFormat="1" ht="30" customHeight="1">
      <c r="B969" s="794" t="s">
        <v>61</v>
      </c>
      <c r="C969" s="795"/>
      <c r="D969" s="795"/>
      <c r="E969" s="795"/>
      <c r="F969" s="795"/>
      <c r="G969" s="795"/>
      <c r="H969" s="795"/>
      <c r="I969" s="797"/>
      <c r="J969" s="433"/>
    </row>
    <row r="970" spans="2:10" s="434" customFormat="1" ht="30" customHeight="1">
      <c r="B970" s="435" t="s">
        <v>57</v>
      </c>
      <c r="C970" s="337" t="s">
        <v>68</v>
      </c>
      <c r="D970" s="344" t="s">
        <v>48</v>
      </c>
      <c r="E970" s="344"/>
      <c r="F970" s="443"/>
      <c r="G970" s="443"/>
      <c r="H970" s="444" t="s">
        <v>58</v>
      </c>
      <c r="I970" s="389" t="s">
        <v>53</v>
      </c>
      <c r="J970" s="433"/>
    </row>
    <row r="971" spans="2:10" s="434" customFormat="1" ht="30" customHeight="1">
      <c r="B971" s="496" t="s">
        <v>493</v>
      </c>
      <c r="C971" s="497" t="s">
        <v>54</v>
      </c>
      <c r="D971" s="387">
        <v>1</v>
      </c>
      <c r="E971" s="498"/>
      <c r="F971" s="499"/>
      <c r="G971" s="499"/>
      <c r="H971" s="500">
        <f>Insumos!D22</f>
        <v>8.69</v>
      </c>
      <c r="I971" s="501">
        <f>D971*H971</f>
        <v>8.69</v>
      </c>
      <c r="J971" s="433"/>
    </row>
    <row r="972" spans="2:10" s="434" customFormat="1" ht="30" customHeight="1">
      <c r="B972" s="518" t="s">
        <v>114</v>
      </c>
      <c r="C972" s="519" t="s">
        <v>54</v>
      </c>
      <c r="D972" s="387">
        <v>1.5</v>
      </c>
      <c r="E972" s="499"/>
      <c r="F972" s="499"/>
      <c r="G972" s="499"/>
      <c r="H972" s="500">
        <f>Insumos!D17</f>
        <v>8.69</v>
      </c>
      <c r="I972" s="501">
        <f>D972*H972</f>
        <v>13.04</v>
      </c>
      <c r="J972" s="433"/>
    </row>
    <row r="973" spans="2:10" s="434" customFormat="1" ht="30" customHeight="1">
      <c r="B973" s="502" t="s">
        <v>115</v>
      </c>
      <c r="C973" s="427" t="s">
        <v>54</v>
      </c>
      <c r="D973" s="387">
        <v>1</v>
      </c>
      <c r="E973" s="503"/>
      <c r="F973" s="503"/>
      <c r="G973" s="503"/>
      <c r="H973" s="504">
        <f>Insumos!D25</f>
        <v>6.53</v>
      </c>
      <c r="I973" s="501">
        <f>D973*H973</f>
        <v>6.53</v>
      </c>
      <c r="J973" s="433"/>
    </row>
    <row r="974" spans="2:10" s="434" customFormat="1" ht="30" customHeight="1">
      <c r="B974" s="694" t="s">
        <v>55</v>
      </c>
      <c r="C974" s="695"/>
      <c r="D974" s="695"/>
      <c r="E974" s="695"/>
      <c r="F974" s="695"/>
      <c r="G974" s="695"/>
      <c r="H974" s="695"/>
      <c r="I974" s="439">
        <f>SUM(I971:I973)</f>
        <v>28.26</v>
      </c>
      <c r="J974" s="433"/>
    </row>
    <row r="975" spans="2:10" s="434" customFormat="1" ht="30" customHeight="1">
      <c r="B975" s="99" t="s">
        <v>62</v>
      </c>
      <c r="C975" s="54">
        <v>1</v>
      </c>
      <c r="D975" s="690" t="s">
        <v>63</v>
      </c>
      <c r="E975" s="690"/>
      <c r="F975" s="690"/>
      <c r="G975" s="690"/>
      <c r="H975" s="690"/>
      <c r="I975" s="163">
        <f>I974+I968+I964+I953</f>
        <v>449.45</v>
      </c>
      <c r="J975" s="433"/>
    </row>
    <row r="976" spans="2:10" s="434" customFormat="1" ht="30" customHeight="1">
      <c r="B976" s="716" t="s">
        <v>77</v>
      </c>
      <c r="C976" s="717"/>
      <c r="D976" s="717"/>
      <c r="E976" s="717"/>
      <c r="F976" s="717"/>
      <c r="G976" s="717"/>
      <c r="H976" s="717"/>
      <c r="I976" s="100">
        <f>I975/C975</f>
        <v>449.45</v>
      </c>
      <c r="J976" s="433"/>
    </row>
    <row r="977" spans="2:10" s="434" customFormat="1" ht="30" customHeight="1">
      <c r="B977" s="101" t="s">
        <v>113</v>
      </c>
      <c r="C977" s="129">
        <v>25</v>
      </c>
      <c r="D977" s="720" t="s">
        <v>5</v>
      </c>
      <c r="E977" s="720"/>
      <c r="F977" s="720"/>
      <c r="G977" s="720"/>
      <c r="H977" s="720"/>
      <c r="I977" s="102">
        <f>C977/100*I976</f>
        <v>112.36</v>
      </c>
      <c r="J977" s="433"/>
    </row>
    <row r="978" spans="2:10" ht="16.5" thickBot="1">
      <c r="B978" s="702" t="s">
        <v>64</v>
      </c>
      <c r="C978" s="703"/>
      <c r="D978" s="703"/>
      <c r="E978" s="703"/>
      <c r="F978" s="703"/>
      <c r="G978" s="703"/>
      <c r="H978" s="703"/>
      <c r="I978" s="188">
        <f>I977+I976</f>
        <v>561.80999999999995</v>
      </c>
    </row>
    <row r="981" spans="2:10" ht="13.5" thickBot="1"/>
    <row r="982" spans="2:10" ht="30" customHeight="1" thickBot="1">
      <c r="B982" s="487" t="s">
        <v>43</v>
      </c>
      <c r="C982" s="484" t="s">
        <v>477</v>
      </c>
      <c r="D982" s="792" t="s">
        <v>45</v>
      </c>
      <c r="E982" s="792"/>
      <c r="F982" s="792"/>
      <c r="G982" s="792"/>
      <c r="H982" s="792"/>
      <c r="I982" s="793"/>
    </row>
    <row r="983" spans="2:10" ht="30" customHeight="1">
      <c r="B983" s="712" t="s">
        <v>704</v>
      </c>
      <c r="C983" s="713"/>
      <c r="D983" s="713"/>
      <c r="E983" s="713"/>
      <c r="F983" s="713"/>
      <c r="G983" s="714"/>
      <c r="H983" s="699" t="s">
        <v>705</v>
      </c>
      <c r="I983" s="700"/>
    </row>
    <row r="984" spans="2:10" ht="30" customHeight="1">
      <c r="B984" s="790" t="s">
        <v>654</v>
      </c>
      <c r="C984" s="791"/>
      <c r="D984" s="791"/>
      <c r="E984" s="791"/>
      <c r="F984" s="791"/>
      <c r="G984" s="791"/>
      <c r="H984" s="479" t="s">
        <v>66</v>
      </c>
      <c r="I984" s="442" t="s">
        <v>71</v>
      </c>
    </row>
    <row r="985" spans="2:10" s="434" customFormat="1" ht="30" customHeight="1">
      <c r="B985" s="794" t="s">
        <v>46</v>
      </c>
      <c r="C985" s="795"/>
      <c r="D985" s="795"/>
      <c r="E985" s="795"/>
      <c r="F985" s="795"/>
      <c r="G985" s="795"/>
      <c r="H985" s="796"/>
      <c r="I985" s="797"/>
      <c r="J985" s="433"/>
    </row>
    <row r="986" spans="2:10" s="434" customFormat="1" ht="30" customHeight="1">
      <c r="B986" s="435" t="s">
        <v>57</v>
      </c>
      <c r="C986" s="337" t="s">
        <v>68</v>
      </c>
      <c r="D986" s="344" t="s">
        <v>48</v>
      </c>
      <c r="E986" s="387" t="s">
        <v>49</v>
      </c>
      <c r="F986" s="387" t="s">
        <v>50</v>
      </c>
      <c r="G986" s="388" t="s">
        <v>51</v>
      </c>
      <c r="H986" s="388" t="s">
        <v>52</v>
      </c>
      <c r="I986" s="389" t="s">
        <v>53</v>
      </c>
      <c r="J986" s="433"/>
    </row>
    <row r="987" spans="2:10" s="434" customFormat="1" ht="30" customHeight="1">
      <c r="B987" s="495"/>
      <c r="C987" s="337"/>
      <c r="D987" s="344"/>
      <c r="E987" s="390"/>
      <c r="F987" s="390"/>
      <c r="G987" s="426"/>
      <c r="H987" s="426"/>
      <c r="I987" s="164">
        <f>D987*E987*G987+D987*F987*H987</f>
        <v>0</v>
      </c>
      <c r="J987" s="433"/>
    </row>
    <row r="988" spans="2:10" s="434" customFormat="1" ht="30" customHeight="1">
      <c r="B988" s="799" t="s">
        <v>55</v>
      </c>
      <c r="C988" s="800"/>
      <c r="D988" s="800"/>
      <c r="E988" s="800"/>
      <c r="F988" s="800"/>
      <c r="G988" s="800"/>
      <c r="H988" s="800"/>
      <c r="I988" s="439">
        <f>SUM(I987:I987)</f>
        <v>0</v>
      </c>
      <c r="J988" s="433"/>
    </row>
    <row r="989" spans="2:10" s="434" customFormat="1" ht="30" customHeight="1">
      <c r="B989" s="794" t="s">
        <v>56</v>
      </c>
      <c r="C989" s="795"/>
      <c r="D989" s="795"/>
      <c r="E989" s="795"/>
      <c r="F989" s="795"/>
      <c r="G989" s="795"/>
      <c r="H989" s="795"/>
      <c r="I989" s="797"/>
      <c r="J989" s="433"/>
    </row>
    <row r="990" spans="2:10" s="434" customFormat="1" ht="30" customHeight="1">
      <c r="B990" s="435" t="s">
        <v>57</v>
      </c>
      <c r="C990" s="337" t="s">
        <v>68</v>
      </c>
      <c r="D990" s="387" t="s">
        <v>48</v>
      </c>
      <c r="E990" s="344"/>
      <c r="F990" s="344"/>
      <c r="G990" s="344"/>
      <c r="H990" s="337" t="s">
        <v>58</v>
      </c>
      <c r="I990" s="389" t="s">
        <v>53</v>
      </c>
      <c r="J990" s="433"/>
    </row>
    <row r="991" spans="2:10" s="434" customFormat="1" ht="30" customHeight="1">
      <c r="B991" s="231" t="s">
        <v>655</v>
      </c>
      <c r="C991" s="258" t="s">
        <v>71</v>
      </c>
      <c r="D991" s="114">
        <v>1.02</v>
      </c>
      <c r="E991" s="118"/>
      <c r="F991" s="344"/>
      <c r="G991" s="344"/>
      <c r="H991" s="423">
        <f>Insumos!D107</f>
        <v>2.76</v>
      </c>
      <c r="I991" s="164">
        <f>D991*H991</f>
        <v>2.82</v>
      </c>
      <c r="J991" s="433"/>
    </row>
    <row r="992" spans="2:10" s="434" customFormat="1" ht="30" customHeight="1">
      <c r="B992" s="694" t="s">
        <v>55</v>
      </c>
      <c r="C992" s="695"/>
      <c r="D992" s="695"/>
      <c r="E992" s="695"/>
      <c r="F992" s="695"/>
      <c r="G992" s="695"/>
      <c r="H992" s="695"/>
      <c r="I992" s="505">
        <f>SUM(I991:I991)</f>
        <v>2.82</v>
      </c>
      <c r="J992" s="433"/>
    </row>
    <row r="993" spans="2:10" s="434" customFormat="1" ht="30" customHeight="1">
      <c r="B993" s="794" t="s">
        <v>60</v>
      </c>
      <c r="C993" s="795"/>
      <c r="D993" s="795"/>
      <c r="E993" s="795"/>
      <c r="F993" s="795"/>
      <c r="G993" s="795"/>
      <c r="H993" s="795"/>
      <c r="I993" s="797"/>
      <c r="J993" s="433"/>
    </row>
    <row r="994" spans="2:10" s="434" customFormat="1" ht="30" customHeight="1">
      <c r="B994" s="347" t="s">
        <v>57</v>
      </c>
      <c r="C994" s="343" t="s">
        <v>68</v>
      </c>
      <c r="D994" s="337" t="s">
        <v>48</v>
      </c>
      <c r="E994" s="343"/>
      <c r="F994" s="343"/>
      <c r="G994" s="343"/>
      <c r="H994" s="337" t="s">
        <v>58</v>
      </c>
      <c r="I994" s="440" t="s">
        <v>53</v>
      </c>
      <c r="J994" s="433"/>
    </row>
    <row r="995" spans="2:10" s="434" customFormat="1" ht="30" customHeight="1">
      <c r="B995" s="348"/>
      <c r="C995" s="506"/>
      <c r="D995" s="507"/>
      <c r="E995" s="343"/>
      <c r="F995" s="344"/>
      <c r="G995" s="344"/>
      <c r="H995" s="55"/>
      <c r="I995" s="505">
        <f>D995*H995</f>
        <v>0</v>
      </c>
      <c r="J995" s="433"/>
    </row>
    <row r="996" spans="2:10" s="434" customFormat="1" ht="30" customHeight="1">
      <c r="B996" s="694" t="s">
        <v>55</v>
      </c>
      <c r="C996" s="695"/>
      <c r="D996" s="695"/>
      <c r="E996" s="695"/>
      <c r="F996" s="695"/>
      <c r="G996" s="695"/>
      <c r="H996" s="695"/>
      <c r="I996" s="505">
        <f>SUM(I995:I995)</f>
        <v>0</v>
      </c>
      <c r="J996" s="433"/>
    </row>
    <row r="997" spans="2:10" s="434" customFormat="1" ht="30" customHeight="1">
      <c r="B997" s="794" t="s">
        <v>61</v>
      </c>
      <c r="C997" s="795"/>
      <c r="D997" s="795"/>
      <c r="E997" s="795"/>
      <c r="F997" s="795"/>
      <c r="G997" s="795"/>
      <c r="H997" s="795"/>
      <c r="I997" s="797"/>
      <c r="J997" s="433"/>
    </row>
    <row r="998" spans="2:10" s="434" customFormat="1" ht="30" customHeight="1">
      <c r="B998" s="435" t="s">
        <v>57</v>
      </c>
      <c r="C998" s="337" t="s">
        <v>68</v>
      </c>
      <c r="D998" s="387" t="s">
        <v>48</v>
      </c>
      <c r="E998" s="344"/>
      <c r="F998" s="443"/>
      <c r="G998" s="443"/>
      <c r="H998" s="444" t="s">
        <v>58</v>
      </c>
      <c r="I998" s="389" t="s">
        <v>53</v>
      </c>
      <c r="J998" s="433"/>
    </row>
    <row r="999" spans="2:10" s="434" customFormat="1" ht="30" customHeight="1">
      <c r="B999" s="508" t="s">
        <v>474</v>
      </c>
      <c r="C999" s="258" t="s">
        <v>54</v>
      </c>
      <c r="D999" s="114">
        <v>6.0999999999999999E-2</v>
      </c>
      <c r="E999" s="512"/>
      <c r="F999" s="503"/>
      <c r="G999" s="503"/>
      <c r="H999" s="504">
        <f>Insumos!D30</f>
        <v>8.69</v>
      </c>
      <c r="I999" s="501">
        <f>D999*H999</f>
        <v>0.53</v>
      </c>
      <c r="J999" s="433"/>
    </row>
    <row r="1000" spans="2:10" s="434" customFormat="1" ht="30" customHeight="1">
      <c r="B1000" s="508" t="s">
        <v>76</v>
      </c>
      <c r="C1000" s="258" t="s">
        <v>54</v>
      </c>
      <c r="D1000" s="114">
        <v>6.0999999999999999E-2</v>
      </c>
      <c r="E1000" s="512"/>
      <c r="F1000" s="503"/>
      <c r="G1000" s="503"/>
      <c r="H1000" s="504">
        <f>Insumos!D24</f>
        <v>6.53</v>
      </c>
      <c r="I1000" s="501">
        <f>D1000*H1000</f>
        <v>0.4</v>
      </c>
      <c r="J1000" s="433"/>
    </row>
    <row r="1001" spans="2:10" s="434" customFormat="1" ht="30" customHeight="1">
      <c r="B1001" s="694" t="s">
        <v>55</v>
      </c>
      <c r="C1001" s="695"/>
      <c r="D1001" s="695"/>
      <c r="E1001" s="695"/>
      <c r="F1001" s="695"/>
      <c r="G1001" s="695"/>
      <c r="H1001" s="695"/>
      <c r="I1001" s="439">
        <f>SUM(I999:I1000)</f>
        <v>0.93</v>
      </c>
      <c r="J1001" s="433"/>
    </row>
    <row r="1002" spans="2:10" s="434" customFormat="1" ht="30" customHeight="1">
      <c r="B1002" s="99" t="s">
        <v>62</v>
      </c>
      <c r="C1002" s="54">
        <v>1</v>
      </c>
      <c r="D1002" s="690" t="s">
        <v>63</v>
      </c>
      <c r="E1002" s="690"/>
      <c r="F1002" s="690"/>
      <c r="G1002" s="690"/>
      <c r="H1002" s="690"/>
      <c r="I1002" s="163">
        <f>I1001+I996+I992+I988</f>
        <v>3.75</v>
      </c>
      <c r="J1002" s="433"/>
    </row>
    <row r="1003" spans="2:10" s="434" customFormat="1" ht="30" customHeight="1">
      <c r="B1003" s="716" t="s">
        <v>77</v>
      </c>
      <c r="C1003" s="717"/>
      <c r="D1003" s="717"/>
      <c r="E1003" s="717"/>
      <c r="F1003" s="717"/>
      <c r="G1003" s="717"/>
      <c r="H1003" s="717"/>
      <c r="I1003" s="100">
        <f>I1002/C1002</f>
        <v>3.75</v>
      </c>
      <c r="J1003" s="433"/>
    </row>
    <row r="1004" spans="2:10" s="434" customFormat="1" ht="30" customHeight="1">
      <c r="B1004" s="101" t="s">
        <v>113</v>
      </c>
      <c r="C1004" s="129">
        <v>25</v>
      </c>
      <c r="D1004" s="720" t="s">
        <v>5</v>
      </c>
      <c r="E1004" s="720"/>
      <c r="F1004" s="720"/>
      <c r="G1004" s="720"/>
      <c r="H1004" s="720"/>
      <c r="I1004" s="102">
        <f>C1004/100*I1003</f>
        <v>0.94</v>
      </c>
      <c r="J1004" s="433"/>
    </row>
    <row r="1005" spans="2:10" ht="16.5" thickBot="1">
      <c r="B1005" s="702" t="s">
        <v>64</v>
      </c>
      <c r="C1005" s="703"/>
      <c r="D1005" s="703"/>
      <c r="E1005" s="703"/>
      <c r="F1005" s="703"/>
      <c r="G1005" s="703"/>
      <c r="H1005" s="703"/>
      <c r="I1005" s="188">
        <f>I1004+I1003</f>
        <v>4.6900000000000004</v>
      </c>
    </row>
    <row r="1008" spans="2:10" ht="13.5" thickBot="1"/>
    <row r="1009" spans="2:10" ht="30" customHeight="1" thickBot="1">
      <c r="B1009" s="487" t="s">
        <v>43</v>
      </c>
      <c r="C1009" s="484" t="s">
        <v>551</v>
      </c>
      <c r="D1009" s="792" t="s">
        <v>45</v>
      </c>
      <c r="E1009" s="792"/>
      <c r="F1009" s="792"/>
      <c r="G1009" s="792"/>
      <c r="H1009" s="792"/>
      <c r="I1009" s="793"/>
    </row>
    <row r="1010" spans="2:10" ht="30" customHeight="1">
      <c r="B1010" s="712" t="s">
        <v>704</v>
      </c>
      <c r="C1010" s="713"/>
      <c r="D1010" s="713"/>
      <c r="E1010" s="713"/>
      <c r="F1010" s="713"/>
      <c r="G1010" s="714"/>
      <c r="H1010" s="699" t="s">
        <v>705</v>
      </c>
      <c r="I1010" s="700"/>
    </row>
    <row r="1011" spans="2:10" ht="30" customHeight="1">
      <c r="B1011" s="790" t="s">
        <v>653</v>
      </c>
      <c r="C1011" s="791"/>
      <c r="D1011" s="791"/>
      <c r="E1011" s="791"/>
      <c r="F1011" s="791"/>
      <c r="G1011" s="791"/>
      <c r="H1011" s="479" t="s">
        <v>66</v>
      </c>
      <c r="I1011" s="442" t="s">
        <v>71</v>
      </c>
    </row>
    <row r="1012" spans="2:10" s="434" customFormat="1" ht="30" customHeight="1">
      <c r="B1012" s="794" t="s">
        <v>46</v>
      </c>
      <c r="C1012" s="795"/>
      <c r="D1012" s="795"/>
      <c r="E1012" s="795"/>
      <c r="F1012" s="795"/>
      <c r="G1012" s="795"/>
      <c r="H1012" s="796"/>
      <c r="I1012" s="797"/>
      <c r="J1012" s="433"/>
    </row>
    <row r="1013" spans="2:10" s="434" customFormat="1" ht="30" customHeight="1">
      <c r="B1013" s="435" t="s">
        <v>57</v>
      </c>
      <c r="C1013" s="337" t="s">
        <v>68</v>
      </c>
      <c r="D1013" s="344" t="s">
        <v>48</v>
      </c>
      <c r="E1013" s="387" t="s">
        <v>49</v>
      </c>
      <c r="F1013" s="387" t="s">
        <v>50</v>
      </c>
      <c r="G1013" s="388" t="s">
        <v>51</v>
      </c>
      <c r="H1013" s="388" t="s">
        <v>52</v>
      </c>
      <c r="I1013" s="389" t="s">
        <v>53</v>
      </c>
      <c r="J1013" s="433"/>
    </row>
    <row r="1014" spans="2:10" s="434" customFormat="1" ht="30" customHeight="1">
      <c r="B1014" s="495"/>
      <c r="C1014" s="337"/>
      <c r="D1014" s="344"/>
      <c r="E1014" s="390"/>
      <c r="F1014" s="390"/>
      <c r="G1014" s="426"/>
      <c r="H1014" s="426"/>
      <c r="I1014" s="164">
        <f>D1014*E1014*G1014+D1014*F1014*H1014</f>
        <v>0</v>
      </c>
      <c r="J1014" s="433"/>
    </row>
    <row r="1015" spans="2:10" s="434" customFormat="1" ht="30" customHeight="1">
      <c r="B1015" s="799" t="s">
        <v>55</v>
      </c>
      <c r="C1015" s="800"/>
      <c r="D1015" s="800"/>
      <c r="E1015" s="800"/>
      <c r="F1015" s="800"/>
      <c r="G1015" s="800"/>
      <c r="H1015" s="800"/>
      <c r="I1015" s="439">
        <f>SUM(I1014:I1014)</f>
        <v>0</v>
      </c>
      <c r="J1015" s="433"/>
    </row>
    <row r="1016" spans="2:10" s="434" customFormat="1" ht="30" customHeight="1">
      <c r="B1016" s="794" t="s">
        <v>56</v>
      </c>
      <c r="C1016" s="795"/>
      <c r="D1016" s="795"/>
      <c r="E1016" s="795"/>
      <c r="F1016" s="795"/>
      <c r="G1016" s="795"/>
      <c r="H1016" s="795"/>
      <c r="I1016" s="797"/>
      <c r="J1016" s="433"/>
    </row>
    <row r="1017" spans="2:10" s="434" customFormat="1" ht="30" customHeight="1">
      <c r="B1017" s="435" t="s">
        <v>57</v>
      </c>
      <c r="C1017" s="337" t="s">
        <v>68</v>
      </c>
      <c r="D1017" s="387" t="s">
        <v>48</v>
      </c>
      <c r="E1017" s="344"/>
      <c r="F1017" s="344"/>
      <c r="G1017" s="344"/>
      <c r="H1017" s="337" t="s">
        <v>58</v>
      </c>
      <c r="I1017" s="389" t="s">
        <v>53</v>
      </c>
      <c r="J1017" s="433"/>
    </row>
    <row r="1018" spans="2:10" s="434" customFormat="1" ht="30" customHeight="1">
      <c r="B1018" s="231" t="s">
        <v>652</v>
      </c>
      <c r="C1018" s="258" t="s">
        <v>71</v>
      </c>
      <c r="D1018" s="114">
        <v>1</v>
      </c>
      <c r="E1018" s="118"/>
      <c r="F1018" s="344"/>
      <c r="G1018" s="344"/>
      <c r="H1018" s="423">
        <f>Insumos!D109</f>
        <v>2.85</v>
      </c>
      <c r="I1018" s="164">
        <f>D1018*H1018</f>
        <v>2.85</v>
      </c>
      <c r="J1018" s="433"/>
    </row>
    <row r="1019" spans="2:10" s="434" customFormat="1" ht="30" customHeight="1">
      <c r="B1019" s="694" t="s">
        <v>55</v>
      </c>
      <c r="C1019" s="695"/>
      <c r="D1019" s="695"/>
      <c r="E1019" s="695"/>
      <c r="F1019" s="695"/>
      <c r="G1019" s="695"/>
      <c r="H1019" s="695"/>
      <c r="I1019" s="505">
        <f>SUM(I1018:I1018)</f>
        <v>2.85</v>
      </c>
      <c r="J1019" s="433"/>
    </row>
    <row r="1020" spans="2:10" s="434" customFormat="1" ht="30" customHeight="1">
      <c r="B1020" s="794" t="s">
        <v>60</v>
      </c>
      <c r="C1020" s="795"/>
      <c r="D1020" s="795"/>
      <c r="E1020" s="795"/>
      <c r="F1020" s="795"/>
      <c r="G1020" s="795"/>
      <c r="H1020" s="795"/>
      <c r="I1020" s="797"/>
      <c r="J1020" s="433"/>
    </row>
    <row r="1021" spans="2:10" s="434" customFormat="1" ht="30" customHeight="1">
      <c r="B1021" s="347" t="s">
        <v>57</v>
      </c>
      <c r="C1021" s="343" t="s">
        <v>68</v>
      </c>
      <c r="D1021" s="337" t="s">
        <v>48</v>
      </c>
      <c r="E1021" s="343"/>
      <c r="F1021" s="343"/>
      <c r="G1021" s="343"/>
      <c r="H1021" s="337" t="s">
        <v>58</v>
      </c>
      <c r="I1021" s="440" t="s">
        <v>53</v>
      </c>
      <c r="J1021" s="433"/>
    </row>
    <row r="1022" spans="2:10" s="434" customFormat="1" ht="30" customHeight="1">
      <c r="B1022" s="348"/>
      <c r="C1022" s="506"/>
      <c r="D1022" s="507"/>
      <c r="E1022" s="343"/>
      <c r="F1022" s="344"/>
      <c r="G1022" s="344"/>
      <c r="H1022" s="55"/>
      <c r="I1022" s="505">
        <f>D1022*H1022</f>
        <v>0</v>
      </c>
      <c r="J1022" s="433"/>
    </row>
    <row r="1023" spans="2:10" s="434" customFormat="1" ht="30" customHeight="1">
      <c r="B1023" s="694" t="s">
        <v>55</v>
      </c>
      <c r="C1023" s="695"/>
      <c r="D1023" s="695"/>
      <c r="E1023" s="695"/>
      <c r="F1023" s="695"/>
      <c r="G1023" s="695"/>
      <c r="H1023" s="695"/>
      <c r="I1023" s="505">
        <f>SUM(I1022:I1022)</f>
        <v>0</v>
      </c>
      <c r="J1023" s="433"/>
    </row>
    <row r="1024" spans="2:10" s="434" customFormat="1" ht="30" customHeight="1">
      <c r="B1024" s="794" t="s">
        <v>61</v>
      </c>
      <c r="C1024" s="795"/>
      <c r="D1024" s="795"/>
      <c r="E1024" s="795"/>
      <c r="F1024" s="795"/>
      <c r="G1024" s="795"/>
      <c r="H1024" s="795"/>
      <c r="I1024" s="797"/>
      <c r="J1024" s="433"/>
    </row>
    <row r="1025" spans="2:11" s="434" customFormat="1" ht="30" customHeight="1">
      <c r="B1025" s="435" t="s">
        <v>57</v>
      </c>
      <c r="C1025" s="337" t="s">
        <v>68</v>
      </c>
      <c r="D1025" s="387" t="s">
        <v>48</v>
      </c>
      <c r="E1025" s="344"/>
      <c r="F1025" s="443"/>
      <c r="G1025" s="443"/>
      <c r="H1025" s="444" t="s">
        <v>58</v>
      </c>
      <c r="I1025" s="389" t="s">
        <v>53</v>
      </c>
      <c r="J1025" s="433"/>
    </row>
    <row r="1026" spans="2:11" s="434" customFormat="1" ht="30" customHeight="1">
      <c r="B1026" s="508" t="s">
        <v>474</v>
      </c>
      <c r="C1026" s="258" t="s">
        <v>54</v>
      </c>
      <c r="D1026" s="114">
        <v>0.4</v>
      </c>
      <c r="E1026" s="512"/>
      <c r="F1026" s="503"/>
      <c r="G1026" s="503"/>
      <c r="H1026" s="504">
        <f>Insumos!D30</f>
        <v>8.69</v>
      </c>
      <c r="I1026" s="501">
        <f>D1026*H1026</f>
        <v>3.48</v>
      </c>
      <c r="J1026" s="433"/>
    </row>
    <row r="1027" spans="2:11" s="434" customFormat="1" ht="30" customHeight="1">
      <c r="B1027" s="508" t="s">
        <v>76</v>
      </c>
      <c r="C1027" s="258" t="s">
        <v>54</v>
      </c>
      <c r="D1027" s="114">
        <v>0.4</v>
      </c>
      <c r="E1027" s="512"/>
      <c r="F1027" s="503"/>
      <c r="G1027" s="503"/>
      <c r="H1027" s="504">
        <f>Insumos!D26</f>
        <v>7.15</v>
      </c>
      <c r="I1027" s="501">
        <f>D1027*H1027</f>
        <v>2.86</v>
      </c>
      <c r="J1027" s="433"/>
    </row>
    <row r="1028" spans="2:11" s="434" customFormat="1" ht="30" customHeight="1">
      <c r="B1028" s="694" t="s">
        <v>55</v>
      </c>
      <c r="C1028" s="695"/>
      <c r="D1028" s="695"/>
      <c r="E1028" s="695"/>
      <c r="F1028" s="695"/>
      <c r="G1028" s="695"/>
      <c r="H1028" s="695"/>
      <c r="I1028" s="439">
        <f>SUM(I1026:I1027)</f>
        <v>6.34</v>
      </c>
      <c r="J1028" s="433"/>
    </row>
    <row r="1029" spans="2:11" s="434" customFormat="1" ht="30" customHeight="1">
      <c r="B1029" s="99" t="s">
        <v>62</v>
      </c>
      <c r="C1029" s="54">
        <v>1</v>
      </c>
      <c r="D1029" s="690" t="s">
        <v>63</v>
      </c>
      <c r="E1029" s="690"/>
      <c r="F1029" s="690"/>
      <c r="G1029" s="690"/>
      <c r="H1029" s="690"/>
      <c r="I1029" s="163">
        <f>I1028+I1023+I1019+I1015</f>
        <v>9.19</v>
      </c>
      <c r="J1029" s="433"/>
    </row>
    <row r="1030" spans="2:11" s="434" customFormat="1" ht="30" customHeight="1">
      <c r="B1030" s="716" t="s">
        <v>77</v>
      </c>
      <c r="C1030" s="717"/>
      <c r="D1030" s="717"/>
      <c r="E1030" s="717"/>
      <c r="F1030" s="717"/>
      <c r="G1030" s="717"/>
      <c r="H1030" s="717"/>
      <c r="I1030" s="100">
        <f>I1029/C1029</f>
        <v>9.19</v>
      </c>
      <c r="J1030" s="433"/>
      <c r="K1030" s="434">
        <v>84.72</v>
      </c>
    </row>
    <row r="1031" spans="2:11" s="434" customFormat="1" ht="30" customHeight="1">
      <c r="B1031" s="101" t="s">
        <v>113</v>
      </c>
      <c r="C1031" s="129">
        <v>25</v>
      </c>
      <c r="D1031" s="720" t="s">
        <v>5</v>
      </c>
      <c r="E1031" s="720"/>
      <c r="F1031" s="720"/>
      <c r="G1031" s="720"/>
      <c r="H1031" s="720"/>
      <c r="I1031" s="102">
        <f>C1031/100*I1030</f>
        <v>2.2999999999999998</v>
      </c>
      <c r="J1031" s="433"/>
    </row>
    <row r="1032" spans="2:11" s="434" customFormat="1" ht="30" customHeight="1" thickBot="1">
      <c r="B1032" s="702" t="s">
        <v>64</v>
      </c>
      <c r="C1032" s="703"/>
      <c r="D1032" s="703"/>
      <c r="E1032" s="703"/>
      <c r="F1032" s="703"/>
      <c r="G1032" s="703"/>
      <c r="H1032" s="703"/>
      <c r="I1032" s="188">
        <f>I1031+I1030</f>
        <v>11.49</v>
      </c>
      <c r="J1032" s="433"/>
    </row>
    <row r="1033" spans="2:11" s="434" customFormat="1">
      <c r="B1033" s="91"/>
      <c r="C1033" s="94"/>
      <c r="D1033" s="178"/>
      <c r="E1033" s="91"/>
      <c r="F1033" s="91"/>
      <c r="G1033" s="91"/>
      <c r="H1033" s="91"/>
      <c r="I1033" s="95"/>
      <c r="J1033" s="433"/>
    </row>
    <row r="1035" spans="2:11" ht="13.5" thickBot="1"/>
    <row r="1036" spans="2:11" ht="16.5" thickBot="1">
      <c r="B1036" s="487" t="s">
        <v>43</v>
      </c>
      <c r="C1036" s="484" t="s">
        <v>479</v>
      </c>
      <c r="D1036" s="792" t="s">
        <v>45</v>
      </c>
      <c r="E1036" s="792"/>
      <c r="F1036" s="792"/>
      <c r="G1036" s="792"/>
      <c r="H1036" s="792"/>
      <c r="I1036" s="793"/>
    </row>
    <row r="1037" spans="2:11" ht="30" customHeight="1">
      <c r="B1037" s="712" t="s">
        <v>704</v>
      </c>
      <c r="C1037" s="713"/>
      <c r="D1037" s="713"/>
      <c r="E1037" s="713"/>
      <c r="F1037" s="713"/>
      <c r="G1037" s="714"/>
      <c r="H1037" s="699" t="s">
        <v>705</v>
      </c>
      <c r="I1037" s="700"/>
    </row>
    <row r="1038" spans="2:11" ht="30" customHeight="1">
      <c r="B1038" s="801" t="s">
        <v>478</v>
      </c>
      <c r="C1038" s="802"/>
      <c r="D1038" s="802"/>
      <c r="E1038" s="802"/>
      <c r="F1038" s="802"/>
      <c r="G1038" s="802"/>
      <c r="H1038" s="479" t="s">
        <v>66</v>
      </c>
      <c r="I1038" s="442" t="s">
        <v>59</v>
      </c>
    </row>
    <row r="1039" spans="2:11" ht="30" customHeight="1">
      <c r="B1039" s="794" t="s">
        <v>46</v>
      </c>
      <c r="C1039" s="795"/>
      <c r="D1039" s="795"/>
      <c r="E1039" s="795"/>
      <c r="F1039" s="795"/>
      <c r="G1039" s="795"/>
      <c r="H1039" s="796"/>
      <c r="I1039" s="797"/>
    </row>
    <row r="1040" spans="2:11" ht="30" customHeight="1">
      <c r="B1040" s="435" t="s">
        <v>57</v>
      </c>
      <c r="C1040" s="337" t="s">
        <v>68</v>
      </c>
      <c r="D1040" s="387" t="s">
        <v>48</v>
      </c>
      <c r="E1040" s="387" t="s">
        <v>49</v>
      </c>
      <c r="F1040" s="387" t="s">
        <v>50</v>
      </c>
      <c r="G1040" s="388" t="s">
        <v>51</v>
      </c>
      <c r="H1040" s="388" t="s">
        <v>52</v>
      </c>
      <c r="I1040" s="389" t="s">
        <v>53</v>
      </c>
    </row>
    <row r="1041" spans="2:10" s="434" customFormat="1">
      <c r="B1041" s="495"/>
      <c r="C1041" s="337"/>
      <c r="D1041" s="344"/>
      <c r="E1041" s="390"/>
      <c r="F1041" s="390"/>
      <c r="G1041" s="426"/>
      <c r="H1041" s="426"/>
      <c r="I1041" s="164">
        <f>D1041*E1041*G1041+D1041*F1041*H1041</f>
        <v>0</v>
      </c>
      <c r="J1041" s="433"/>
    </row>
    <row r="1042" spans="2:10">
      <c r="B1042" s="799" t="s">
        <v>55</v>
      </c>
      <c r="C1042" s="800"/>
      <c r="D1042" s="800"/>
      <c r="E1042" s="800"/>
      <c r="F1042" s="800"/>
      <c r="G1042" s="800"/>
      <c r="H1042" s="800"/>
      <c r="I1042" s="439">
        <f>SUM(I1041:I1041)</f>
        <v>0</v>
      </c>
    </row>
    <row r="1043" spans="2:10" s="434" customFormat="1" ht="30" customHeight="1">
      <c r="B1043" s="794" t="s">
        <v>56</v>
      </c>
      <c r="C1043" s="795"/>
      <c r="D1043" s="795"/>
      <c r="E1043" s="795"/>
      <c r="F1043" s="795"/>
      <c r="G1043" s="795"/>
      <c r="H1043" s="795"/>
      <c r="I1043" s="797"/>
      <c r="J1043" s="433"/>
    </row>
    <row r="1044" spans="2:10" s="434" customFormat="1" ht="30" customHeight="1">
      <c r="B1044" s="435" t="s">
        <v>57</v>
      </c>
      <c r="C1044" s="337" t="s">
        <v>68</v>
      </c>
      <c r="D1044" s="387" t="s">
        <v>48</v>
      </c>
      <c r="E1044" s="344"/>
      <c r="F1044" s="344"/>
      <c r="G1044" s="344"/>
      <c r="H1044" s="337" t="s">
        <v>58</v>
      </c>
      <c r="I1044" s="389" t="s">
        <v>53</v>
      </c>
      <c r="J1044" s="433"/>
    </row>
    <row r="1045" spans="2:10" s="434" customFormat="1" ht="30" customHeight="1">
      <c r="B1045" s="231" t="s">
        <v>651</v>
      </c>
      <c r="C1045" s="258" t="s">
        <v>59</v>
      </c>
      <c r="D1045" s="114">
        <v>1</v>
      </c>
      <c r="E1045" s="118"/>
      <c r="F1045" s="344"/>
      <c r="G1045" s="344"/>
      <c r="H1045" s="423">
        <f>Insumos!D111</f>
        <v>19.3</v>
      </c>
      <c r="I1045" s="164">
        <f>D1045*H1045</f>
        <v>19.3</v>
      </c>
      <c r="J1045" s="433"/>
    </row>
    <row r="1046" spans="2:10" s="434" customFormat="1" ht="30" customHeight="1">
      <c r="B1046" s="694" t="s">
        <v>55</v>
      </c>
      <c r="C1046" s="695"/>
      <c r="D1046" s="695"/>
      <c r="E1046" s="695"/>
      <c r="F1046" s="695"/>
      <c r="G1046" s="695"/>
      <c r="H1046" s="695"/>
      <c r="I1046" s="505">
        <f>SUM(I1045:I1045)</f>
        <v>19.3</v>
      </c>
      <c r="J1046" s="433"/>
    </row>
    <row r="1047" spans="2:10" s="434" customFormat="1" ht="30" customHeight="1">
      <c r="B1047" s="794" t="s">
        <v>60</v>
      </c>
      <c r="C1047" s="795"/>
      <c r="D1047" s="795"/>
      <c r="E1047" s="795"/>
      <c r="F1047" s="795"/>
      <c r="G1047" s="795"/>
      <c r="H1047" s="795"/>
      <c r="I1047" s="797"/>
      <c r="J1047" s="433"/>
    </row>
    <row r="1048" spans="2:10" s="434" customFormat="1" ht="30" customHeight="1">
      <c r="B1048" s="347" t="s">
        <v>57</v>
      </c>
      <c r="C1048" s="343" t="s">
        <v>68</v>
      </c>
      <c r="D1048" s="337" t="s">
        <v>48</v>
      </c>
      <c r="E1048" s="343"/>
      <c r="F1048" s="343"/>
      <c r="G1048" s="343"/>
      <c r="H1048" s="337" t="s">
        <v>58</v>
      </c>
      <c r="I1048" s="440" t="s">
        <v>53</v>
      </c>
      <c r="J1048" s="433"/>
    </row>
    <row r="1049" spans="2:10" s="434" customFormat="1" ht="30" customHeight="1">
      <c r="B1049" s="348"/>
      <c r="C1049" s="506"/>
      <c r="D1049" s="507"/>
      <c r="E1049" s="343"/>
      <c r="F1049" s="344"/>
      <c r="G1049" s="344"/>
      <c r="H1049" s="55"/>
      <c r="I1049" s="505">
        <f>D1049*H1049</f>
        <v>0</v>
      </c>
      <c r="J1049" s="433"/>
    </row>
    <row r="1050" spans="2:10" s="434" customFormat="1" ht="30" customHeight="1">
      <c r="B1050" s="694" t="s">
        <v>55</v>
      </c>
      <c r="C1050" s="695"/>
      <c r="D1050" s="695"/>
      <c r="E1050" s="695"/>
      <c r="F1050" s="695"/>
      <c r="G1050" s="695"/>
      <c r="H1050" s="695"/>
      <c r="I1050" s="505">
        <f>SUM(I1049:I1049)</f>
        <v>0</v>
      </c>
      <c r="J1050" s="433"/>
    </row>
    <row r="1051" spans="2:10" s="434" customFormat="1" ht="30" customHeight="1">
      <c r="B1051" s="794" t="s">
        <v>61</v>
      </c>
      <c r="C1051" s="795"/>
      <c r="D1051" s="795"/>
      <c r="E1051" s="795"/>
      <c r="F1051" s="795"/>
      <c r="G1051" s="795"/>
      <c r="H1051" s="795"/>
      <c r="I1051" s="797"/>
      <c r="J1051" s="433"/>
    </row>
    <row r="1052" spans="2:10" s="434" customFormat="1" ht="30" customHeight="1">
      <c r="B1052" s="435" t="s">
        <v>57</v>
      </c>
      <c r="C1052" s="337" t="s">
        <v>68</v>
      </c>
      <c r="D1052" s="387" t="s">
        <v>48</v>
      </c>
      <c r="E1052" s="344"/>
      <c r="F1052" s="443"/>
      <c r="G1052" s="443"/>
      <c r="H1052" s="444" t="s">
        <v>58</v>
      </c>
      <c r="I1052" s="389" t="s">
        <v>53</v>
      </c>
      <c r="J1052" s="433"/>
    </row>
    <row r="1053" spans="2:10" s="434" customFormat="1" ht="30" customHeight="1">
      <c r="B1053" s="508" t="s">
        <v>474</v>
      </c>
      <c r="C1053" s="258" t="s">
        <v>54</v>
      </c>
      <c r="D1053" s="114">
        <v>2</v>
      </c>
      <c r="E1053" s="512"/>
      <c r="F1053" s="503"/>
      <c r="G1053" s="503"/>
      <c r="H1053" s="504">
        <f>Insumos!D30</f>
        <v>8.69</v>
      </c>
      <c r="I1053" s="501">
        <f>D1053*H1053</f>
        <v>17.38</v>
      </c>
      <c r="J1053" s="433"/>
    </row>
    <row r="1054" spans="2:10" s="434" customFormat="1" ht="30" customHeight="1">
      <c r="B1054" s="508" t="s">
        <v>76</v>
      </c>
      <c r="C1054" s="258" t="s">
        <v>54</v>
      </c>
      <c r="D1054" s="114">
        <v>2</v>
      </c>
      <c r="E1054" s="512"/>
      <c r="F1054" s="503"/>
      <c r="G1054" s="503"/>
      <c r="H1054" s="504">
        <f>Insumos!D24</f>
        <v>6.53</v>
      </c>
      <c r="I1054" s="501">
        <f>D1054*H1054</f>
        <v>13.06</v>
      </c>
      <c r="J1054" s="433"/>
    </row>
    <row r="1055" spans="2:10" s="434" customFormat="1" ht="30" customHeight="1">
      <c r="B1055" s="694" t="s">
        <v>55</v>
      </c>
      <c r="C1055" s="695"/>
      <c r="D1055" s="695"/>
      <c r="E1055" s="695"/>
      <c r="F1055" s="695"/>
      <c r="G1055" s="695"/>
      <c r="H1055" s="695"/>
      <c r="I1055" s="439">
        <f>SUM(I1053:I1054)</f>
        <v>30.44</v>
      </c>
      <c r="J1055" s="433"/>
    </row>
    <row r="1056" spans="2:10" s="434" customFormat="1" ht="30" customHeight="1">
      <c r="B1056" s="99" t="s">
        <v>62</v>
      </c>
      <c r="C1056" s="54">
        <v>1</v>
      </c>
      <c r="D1056" s="690" t="s">
        <v>63</v>
      </c>
      <c r="E1056" s="690"/>
      <c r="F1056" s="690"/>
      <c r="G1056" s="690"/>
      <c r="H1056" s="690"/>
      <c r="I1056" s="163">
        <f>I1055+I1050+I1046+I1042</f>
        <v>49.74</v>
      </c>
      <c r="J1056" s="433"/>
    </row>
    <row r="1057" spans="2:11" s="434" customFormat="1" ht="30" customHeight="1">
      <c r="B1057" s="716" t="s">
        <v>77</v>
      </c>
      <c r="C1057" s="717"/>
      <c r="D1057" s="717"/>
      <c r="E1057" s="717"/>
      <c r="F1057" s="717"/>
      <c r="G1057" s="717"/>
      <c r="H1057" s="717"/>
      <c r="I1057" s="100">
        <f>I1056/C1056</f>
        <v>49.74</v>
      </c>
      <c r="J1057" s="433"/>
    </row>
    <row r="1058" spans="2:11" s="434" customFormat="1" ht="30" customHeight="1">
      <c r="B1058" s="101" t="s">
        <v>113</v>
      </c>
      <c r="C1058" s="129">
        <v>25</v>
      </c>
      <c r="D1058" s="720" t="s">
        <v>5</v>
      </c>
      <c r="E1058" s="720"/>
      <c r="F1058" s="720"/>
      <c r="G1058" s="720"/>
      <c r="H1058" s="720"/>
      <c r="I1058" s="102">
        <f>C1058/100*I1057</f>
        <v>12.44</v>
      </c>
      <c r="J1058" s="433"/>
    </row>
    <row r="1059" spans="2:11" s="434" customFormat="1" ht="30" customHeight="1" thickBot="1">
      <c r="B1059" s="702" t="s">
        <v>64</v>
      </c>
      <c r="C1059" s="703"/>
      <c r="D1059" s="703"/>
      <c r="E1059" s="703"/>
      <c r="F1059" s="703"/>
      <c r="G1059" s="703"/>
      <c r="H1059" s="703"/>
      <c r="I1059" s="188">
        <f>I1058+I1057</f>
        <v>62.18</v>
      </c>
      <c r="J1059" s="433"/>
      <c r="K1059" s="434">
        <v>364</v>
      </c>
    </row>
    <row r="1060" spans="2:11" s="434" customFormat="1">
      <c r="B1060" s="91"/>
      <c r="C1060" s="94"/>
      <c r="D1060" s="178"/>
      <c r="E1060" s="91"/>
      <c r="F1060" s="91"/>
      <c r="G1060" s="91"/>
      <c r="H1060" s="91"/>
      <c r="I1060" s="95"/>
      <c r="J1060" s="433"/>
    </row>
    <row r="1061" spans="2:11" s="434" customFormat="1">
      <c r="B1061" s="91"/>
      <c r="C1061" s="94"/>
      <c r="D1061" s="178"/>
      <c r="E1061" s="91"/>
      <c r="F1061" s="91"/>
      <c r="G1061" s="91"/>
      <c r="H1061" s="91"/>
      <c r="I1061" s="95"/>
      <c r="J1061" s="433"/>
    </row>
    <row r="1062" spans="2:11" s="434" customFormat="1" ht="13.5" thickBot="1">
      <c r="B1062" s="91"/>
      <c r="C1062" s="94"/>
      <c r="D1062" s="178"/>
      <c r="E1062" s="91"/>
      <c r="F1062" s="91"/>
      <c r="G1062" s="91"/>
      <c r="H1062" s="91"/>
      <c r="I1062" s="95"/>
      <c r="J1062" s="433"/>
    </row>
    <row r="1063" spans="2:11" ht="16.5" thickBot="1">
      <c r="B1063" s="487" t="s">
        <v>43</v>
      </c>
      <c r="C1063" s="484" t="s">
        <v>482</v>
      </c>
      <c r="D1063" s="792" t="s">
        <v>45</v>
      </c>
      <c r="E1063" s="792"/>
      <c r="F1063" s="792"/>
      <c r="G1063" s="792"/>
      <c r="H1063" s="792"/>
      <c r="I1063" s="793"/>
    </row>
    <row r="1064" spans="2:11">
      <c r="B1064" s="712" t="s">
        <v>704</v>
      </c>
      <c r="C1064" s="713"/>
      <c r="D1064" s="713"/>
      <c r="E1064" s="713"/>
      <c r="F1064" s="713"/>
      <c r="G1064" s="714"/>
      <c r="H1064" s="699" t="s">
        <v>705</v>
      </c>
      <c r="I1064" s="700"/>
    </row>
    <row r="1065" spans="2:11">
      <c r="B1065" s="790" t="s">
        <v>650</v>
      </c>
      <c r="C1065" s="791"/>
      <c r="D1065" s="791"/>
      <c r="E1065" s="791"/>
      <c r="F1065" s="791"/>
      <c r="G1065" s="791"/>
      <c r="H1065" s="479" t="s">
        <v>66</v>
      </c>
      <c r="I1065" s="442" t="s">
        <v>59</v>
      </c>
    </row>
    <row r="1066" spans="2:11">
      <c r="B1066" s="794" t="s">
        <v>46</v>
      </c>
      <c r="C1066" s="795"/>
      <c r="D1066" s="795"/>
      <c r="E1066" s="795"/>
      <c r="F1066" s="795"/>
      <c r="G1066" s="795"/>
      <c r="H1066" s="796"/>
      <c r="I1066" s="797"/>
    </row>
    <row r="1067" spans="2:11" ht="24.95" customHeight="1">
      <c r="B1067" s="435" t="s">
        <v>57</v>
      </c>
      <c r="C1067" s="337" t="s">
        <v>68</v>
      </c>
      <c r="D1067" s="387" t="s">
        <v>48</v>
      </c>
      <c r="E1067" s="387" t="s">
        <v>49</v>
      </c>
      <c r="F1067" s="387" t="s">
        <v>50</v>
      </c>
      <c r="G1067" s="388" t="s">
        <v>51</v>
      </c>
      <c r="H1067" s="388" t="s">
        <v>52</v>
      </c>
      <c r="I1067" s="389" t="s">
        <v>53</v>
      </c>
    </row>
    <row r="1068" spans="2:11" ht="24.95" customHeight="1">
      <c r="B1068" s="495"/>
      <c r="C1068" s="337"/>
      <c r="D1068" s="344"/>
      <c r="E1068" s="390"/>
      <c r="F1068" s="390"/>
      <c r="G1068" s="426"/>
      <c r="H1068" s="426"/>
      <c r="I1068" s="164">
        <f>D1068*E1068*G1068+D1068*F1068*H1068</f>
        <v>0</v>
      </c>
    </row>
    <row r="1069" spans="2:11" ht="24.95" customHeight="1">
      <c r="B1069" s="799" t="s">
        <v>55</v>
      </c>
      <c r="C1069" s="800"/>
      <c r="D1069" s="800"/>
      <c r="E1069" s="800"/>
      <c r="F1069" s="800"/>
      <c r="G1069" s="800"/>
      <c r="H1069" s="800"/>
      <c r="I1069" s="439">
        <f>SUM(I1068:I1068)</f>
        <v>0</v>
      </c>
    </row>
    <row r="1070" spans="2:11" s="434" customFormat="1" ht="30" customHeight="1">
      <c r="B1070" s="794" t="s">
        <v>56</v>
      </c>
      <c r="C1070" s="795"/>
      <c r="D1070" s="795"/>
      <c r="E1070" s="795"/>
      <c r="F1070" s="795"/>
      <c r="G1070" s="795"/>
      <c r="H1070" s="795"/>
      <c r="I1070" s="797"/>
      <c r="J1070" s="433"/>
    </row>
    <row r="1071" spans="2:11" s="434" customFormat="1" ht="30" customHeight="1">
      <c r="B1071" s="441" t="s">
        <v>57</v>
      </c>
      <c r="C1071" s="337" t="s">
        <v>68</v>
      </c>
      <c r="D1071" s="387" t="s">
        <v>48</v>
      </c>
      <c r="E1071" s="344"/>
      <c r="F1071" s="344"/>
      <c r="G1071" s="344"/>
      <c r="H1071" s="337" t="s">
        <v>58</v>
      </c>
      <c r="I1071" s="389" t="s">
        <v>53</v>
      </c>
      <c r="J1071" s="433"/>
    </row>
    <row r="1072" spans="2:11" s="434" customFormat="1" ht="30" customHeight="1">
      <c r="B1072" s="513" t="s">
        <v>175</v>
      </c>
      <c r="C1072" s="446" t="s">
        <v>87</v>
      </c>
      <c r="D1072" s="387">
        <v>2E-3</v>
      </c>
      <c r="E1072" s="344"/>
      <c r="F1072" s="344"/>
      <c r="G1072" s="344"/>
      <c r="H1072" s="423">
        <f>Insumos!D43</f>
        <v>70</v>
      </c>
      <c r="I1072" s="424">
        <f>D1072*H1072</f>
        <v>0.14000000000000001</v>
      </c>
      <c r="J1072" s="433"/>
    </row>
    <row r="1073" spans="2:10" s="434" customFormat="1" ht="30" customHeight="1">
      <c r="B1073" s="513" t="s">
        <v>102</v>
      </c>
      <c r="C1073" s="422" t="s">
        <v>74</v>
      </c>
      <c r="D1073" s="387">
        <v>2</v>
      </c>
      <c r="E1073" s="344"/>
      <c r="F1073" s="344"/>
      <c r="G1073" s="344"/>
      <c r="H1073" s="423">
        <f>Insumos!D38</f>
        <v>0.5</v>
      </c>
      <c r="I1073" s="424">
        <f>D1073*H1073</f>
        <v>1</v>
      </c>
      <c r="J1073" s="433"/>
    </row>
    <row r="1074" spans="2:10" s="434" customFormat="1" ht="30" customHeight="1">
      <c r="B1074" s="514" t="s">
        <v>481</v>
      </c>
      <c r="C1074" s="383" t="s">
        <v>59</v>
      </c>
      <c r="D1074" s="425">
        <v>1</v>
      </c>
      <c r="E1074" s="344"/>
      <c r="F1074" s="344"/>
      <c r="G1074" s="344"/>
      <c r="H1074" s="423">
        <f>Insumos!D106</f>
        <v>47.3</v>
      </c>
      <c r="I1074" s="424">
        <f>D1074*H1074</f>
        <v>47.3</v>
      </c>
      <c r="J1074" s="433"/>
    </row>
    <row r="1075" spans="2:10" s="434" customFormat="1" ht="30" customHeight="1">
      <c r="B1075" s="694" t="s">
        <v>55</v>
      </c>
      <c r="C1075" s="798"/>
      <c r="D1075" s="695"/>
      <c r="E1075" s="695"/>
      <c r="F1075" s="695"/>
      <c r="G1075" s="695"/>
      <c r="H1075" s="695"/>
      <c r="I1075" s="505">
        <f>SUM(I1072:I1074)</f>
        <v>48.44</v>
      </c>
      <c r="J1075" s="433"/>
    </row>
    <row r="1076" spans="2:10" ht="48" customHeight="1">
      <c r="B1076" s="794" t="s">
        <v>60</v>
      </c>
      <c r="C1076" s="795"/>
      <c r="D1076" s="795"/>
      <c r="E1076" s="795"/>
      <c r="F1076" s="795"/>
      <c r="G1076" s="795"/>
      <c r="H1076" s="795"/>
      <c r="I1076" s="797"/>
    </row>
    <row r="1077" spans="2:10" s="434" customFormat="1" ht="30" customHeight="1">
      <c r="B1077" s="347" t="s">
        <v>57</v>
      </c>
      <c r="C1077" s="343" t="s">
        <v>68</v>
      </c>
      <c r="D1077" s="343" t="s">
        <v>48</v>
      </c>
      <c r="E1077" s="343"/>
      <c r="F1077" s="343"/>
      <c r="G1077" s="343"/>
      <c r="H1077" s="337" t="s">
        <v>58</v>
      </c>
      <c r="I1077" s="440" t="s">
        <v>53</v>
      </c>
      <c r="J1077" s="433"/>
    </row>
    <row r="1078" spans="2:10" s="434" customFormat="1" ht="30" customHeight="1">
      <c r="B1078" s="348"/>
      <c r="C1078" s="506"/>
      <c r="D1078" s="507"/>
      <c r="E1078" s="343"/>
      <c r="F1078" s="344"/>
      <c r="G1078" s="344"/>
      <c r="H1078" s="55"/>
      <c r="I1078" s="505">
        <f>D1078*H1078</f>
        <v>0</v>
      </c>
      <c r="J1078" s="433"/>
    </row>
    <row r="1079" spans="2:10" s="434" customFormat="1" ht="30" customHeight="1">
      <c r="B1079" s="694" t="s">
        <v>55</v>
      </c>
      <c r="C1079" s="695"/>
      <c r="D1079" s="695"/>
      <c r="E1079" s="695"/>
      <c r="F1079" s="695"/>
      <c r="G1079" s="695"/>
      <c r="H1079" s="695"/>
      <c r="I1079" s="505">
        <f>SUM(I1078:I1078)</f>
        <v>0</v>
      </c>
      <c r="J1079" s="433"/>
    </row>
    <row r="1080" spans="2:10" s="434" customFormat="1" ht="30" customHeight="1">
      <c r="B1080" s="794" t="s">
        <v>61</v>
      </c>
      <c r="C1080" s="795"/>
      <c r="D1080" s="795"/>
      <c r="E1080" s="795"/>
      <c r="F1080" s="795"/>
      <c r="G1080" s="795"/>
      <c r="H1080" s="795"/>
      <c r="I1080" s="797"/>
      <c r="J1080" s="433"/>
    </row>
    <row r="1081" spans="2:10" s="434" customFormat="1" ht="30" customHeight="1">
      <c r="B1081" s="435" t="s">
        <v>57</v>
      </c>
      <c r="C1081" s="337" t="s">
        <v>68</v>
      </c>
      <c r="D1081" s="387" t="s">
        <v>48</v>
      </c>
      <c r="E1081" s="344"/>
      <c r="F1081" s="443"/>
      <c r="G1081" s="443"/>
      <c r="H1081" s="444" t="s">
        <v>58</v>
      </c>
      <c r="I1081" s="389" t="s">
        <v>53</v>
      </c>
      <c r="J1081" s="433"/>
    </row>
    <row r="1082" spans="2:10" s="434" customFormat="1" ht="30" customHeight="1">
      <c r="B1082" s="496" t="s">
        <v>104</v>
      </c>
      <c r="C1082" s="497" t="s">
        <v>54</v>
      </c>
      <c r="D1082" s="375">
        <v>0.5</v>
      </c>
      <c r="E1082" s="498"/>
      <c r="F1082" s="499"/>
      <c r="G1082" s="499"/>
      <c r="H1082" s="500">
        <f>Insumos!D16</f>
        <v>8.69</v>
      </c>
      <c r="I1082" s="501">
        <f>D1082*H1082</f>
        <v>4.3499999999999996</v>
      </c>
      <c r="J1082" s="433"/>
    </row>
    <row r="1083" spans="2:10" s="434" customFormat="1" ht="30" customHeight="1">
      <c r="B1083" s="502" t="s">
        <v>76</v>
      </c>
      <c r="C1083" s="427" t="s">
        <v>54</v>
      </c>
      <c r="D1083" s="377">
        <v>0.5</v>
      </c>
      <c r="E1083" s="503"/>
      <c r="F1083" s="503"/>
      <c r="G1083" s="503"/>
      <c r="H1083" s="504">
        <f>Insumos!D24</f>
        <v>6.53</v>
      </c>
      <c r="I1083" s="501">
        <f>D1083*H1083</f>
        <v>3.27</v>
      </c>
      <c r="J1083" s="433"/>
    </row>
    <row r="1084" spans="2:10" s="434" customFormat="1" ht="30" customHeight="1">
      <c r="B1084" s="694" t="s">
        <v>55</v>
      </c>
      <c r="C1084" s="695"/>
      <c r="D1084" s="695"/>
      <c r="E1084" s="695"/>
      <c r="F1084" s="695"/>
      <c r="G1084" s="695"/>
      <c r="H1084" s="695"/>
      <c r="I1084" s="439">
        <f>SUM(I1082:I1083)</f>
        <v>7.62</v>
      </c>
      <c r="J1084" s="433"/>
    </row>
    <row r="1085" spans="2:10" s="434" customFormat="1" ht="30" customHeight="1">
      <c r="B1085" s="99" t="s">
        <v>62</v>
      </c>
      <c r="C1085" s="54">
        <v>1</v>
      </c>
      <c r="D1085" s="690" t="s">
        <v>63</v>
      </c>
      <c r="E1085" s="690"/>
      <c r="F1085" s="690"/>
      <c r="G1085" s="690"/>
      <c r="H1085" s="690"/>
      <c r="I1085" s="163">
        <f>I1084+I1079+I1075+I1069</f>
        <v>56.06</v>
      </c>
      <c r="J1085" s="433"/>
    </row>
    <row r="1086" spans="2:10" s="434" customFormat="1" ht="30" customHeight="1">
      <c r="B1086" s="716" t="s">
        <v>77</v>
      </c>
      <c r="C1086" s="717"/>
      <c r="D1086" s="717"/>
      <c r="E1086" s="717"/>
      <c r="F1086" s="717"/>
      <c r="G1086" s="717"/>
      <c r="H1086" s="717"/>
      <c r="I1086" s="100">
        <f>I1085/C1085</f>
        <v>56.06</v>
      </c>
      <c r="J1086" s="433"/>
    </row>
    <row r="1087" spans="2:10" s="434" customFormat="1" ht="30" customHeight="1">
      <c r="B1087" s="101" t="s">
        <v>113</v>
      </c>
      <c r="C1087" s="129">
        <v>25</v>
      </c>
      <c r="D1087" s="720" t="s">
        <v>5</v>
      </c>
      <c r="E1087" s="720"/>
      <c r="F1087" s="720"/>
      <c r="G1087" s="720"/>
      <c r="H1087" s="720"/>
      <c r="I1087" s="102">
        <f>C1087/100*I1086</f>
        <v>14.02</v>
      </c>
      <c r="J1087" s="433"/>
    </row>
    <row r="1088" spans="2:10" s="434" customFormat="1" ht="30" customHeight="1" thickBot="1">
      <c r="B1088" s="702" t="s">
        <v>64</v>
      </c>
      <c r="C1088" s="703"/>
      <c r="D1088" s="703"/>
      <c r="E1088" s="703"/>
      <c r="F1088" s="703"/>
      <c r="G1088" s="703"/>
      <c r="H1088" s="703"/>
      <c r="I1088" s="188">
        <f>I1087+I1086</f>
        <v>70.08</v>
      </c>
      <c r="J1088" s="433"/>
    </row>
    <row r="1089" spans="2:10" s="434" customFormat="1">
      <c r="B1089" s="91"/>
      <c r="C1089" s="94"/>
      <c r="D1089" s="178"/>
      <c r="E1089" s="91"/>
      <c r="F1089" s="91"/>
      <c r="G1089" s="91"/>
      <c r="H1089" s="91"/>
      <c r="I1089" s="95"/>
      <c r="J1089" s="433"/>
    </row>
    <row r="1090" spans="2:10" s="434" customFormat="1">
      <c r="B1090" s="91"/>
      <c r="C1090" s="94"/>
      <c r="D1090" s="178"/>
      <c r="E1090" s="91"/>
      <c r="F1090" s="91"/>
      <c r="G1090" s="91"/>
      <c r="H1090" s="91"/>
      <c r="I1090" s="95"/>
      <c r="J1090" s="433"/>
    </row>
    <row r="1091" spans="2:10" ht="13.5" thickBot="1"/>
    <row r="1092" spans="2:10" ht="16.5" thickBot="1">
      <c r="B1092" s="487" t="s">
        <v>43</v>
      </c>
      <c r="C1092" s="484" t="s">
        <v>518</v>
      </c>
      <c r="D1092" s="792" t="s">
        <v>45</v>
      </c>
      <c r="E1092" s="792"/>
      <c r="F1092" s="792"/>
      <c r="G1092" s="792"/>
      <c r="H1092" s="792"/>
      <c r="I1092" s="793"/>
    </row>
    <row r="1093" spans="2:10">
      <c r="B1093" s="712" t="s">
        <v>704</v>
      </c>
      <c r="C1093" s="713"/>
      <c r="D1093" s="713"/>
      <c r="E1093" s="713"/>
      <c r="F1093" s="713"/>
      <c r="G1093" s="714"/>
      <c r="H1093" s="699" t="s">
        <v>705</v>
      </c>
      <c r="I1093" s="700"/>
    </row>
    <row r="1094" spans="2:10" ht="30" customHeight="1">
      <c r="B1094" s="790" t="s">
        <v>649</v>
      </c>
      <c r="C1094" s="791"/>
      <c r="D1094" s="791"/>
      <c r="E1094" s="791"/>
      <c r="F1094" s="791"/>
      <c r="G1094" s="791"/>
      <c r="H1094" s="479" t="s">
        <v>66</v>
      </c>
      <c r="I1094" s="442" t="s">
        <v>59</v>
      </c>
    </row>
    <row r="1095" spans="2:10" ht="30" customHeight="1">
      <c r="B1095" s="794" t="s">
        <v>46</v>
      </c>
      <c r="C1095" s="795"/>
      <c r="D1095" s="795"/>
      <c r="E1095" s="795"/>
      <c r="F1095" s="795"/>
      <c r="G1095" s="795"/>
      <c r="H1095" s="796"/>
      <c r="I1095" s="797"/>
    </row>
    <row r="1096" spans="2:10" ht="30" customHeight="1">
      <c r="B1096" s="435" t="s">
        <v>57</v>
      </c>
      <c r="C1096" s="337" t="s">
        <v>68</v>
      </c>
      <c r="D1096" s="387" t="s">
        <v>48</v>
      </c>
      <c r="E1096" s="387" t="s">
        <v>49</v>
      </c>
      <c r="F1096" s="387" t="s">
        <v>50</v>
      </c>
      <c r="G1096" s="388" t="s">
        <v>51</v>
      </c>
      <c r="H1096" s="388" t="s">
        <v>52</v>
      </c>
      <c r="I1096" s="389" t="s">
        <v>53</v>
      </c>
    </row>
    <row r="1097" spans="2:10" ht="30" customHeight="1">
      <c r="B1097" s="350" t="s">
        <v>513</v>
      </c>
      <c r="C1097" s="337" t="s">
        <v>54</v>
      </c>
      <c r="D1097" s="387">
        <v>0.3</v>
      </c>
      <c r="E1097" s="390"/>
      <c r="F1097" s="390"/>
      <c r="G1097" s="426"/>
      <c r="H1097" s="426">
        <f>Insumos!D51</f>
        <v>176.79</v>
      </c>
      <c r="I1097" s="164">
        <f>D1097*H1097</f>
        <v>53.04</v>
      </c>
    </row>
    <row r="1098" spans="2:10" ht="30" customHeight="1">
      <c r="B1098" s="799" t="s">
        <v>55</v>
      </c>
      <c r="C1098" s="800"/>
      <c r="D1098" s="800"/>
      <c r="E1098" s="800"/>
      <c r="F1098" s="800"/>
      <c r="G1098" s="800"/>
      <c r="H1098" s="800"/>
      <c r="I1098" s="439">
        <f>SUM(I1097:I1097)</f>
        <v>53.04</v>
      </c>
    </row>
    <row r="1099" spans="2:10" ht="30" customHeight="1">
      <c r="B1099" s="794" t="s">
        <v>56</v>
      </c>
      <c r="C1099" s="795"/>
      <c r="D1099" s="795"/>
      <c r="E1099" s="795"/>
      <c r="F1099" s="795"/>
      <c r="G1099" s="795"/>
      <c r="H1099" s="795"/>
      <c r="I1099" s="797"/>
    </row>
    <row r="1100" spans="2:10" ht="30" customHeight="1">
      <c r="B1100" s="441" t="s">
        <v>57</v>
      </c>
      <c r="C1100" s="337" t="s">
        <v>68</v>
      </c>
      <c r="D1100" s="387" t="s">
        <v>48</v>
      </c>
      <c r="E1100" s="344"/>
      <c r="F1100" s="344"/>
      <c r="G1100" s="344"/>
      <c r="H1100" s="337" t="s">
        <v>58</v>
      </c>
      <c r="I1100" s="389" t="s">
        <v>53</v>
      </c>
    </row>
    <row r="1101" spans="2:10" ht="30" customHeight="1">
      <c r="B1101" s="493" t="s">
        <v>514</v>
      </c>
      <c r="C1101" s="383" t="s">
        <v>59</v>
      </c>
      <c r="D1101" s="425">
        <v>1</v>
      </c>
      <c r="E1101" s="344"/>
      <c r="F1101" s="344"/>
      <c r="G1101" s="344"/>
      <c r="H1101" s="423">
        <f>Insumos!D47</f>
        <v>25.08</v>
      </c>
      <c r="I1101" s="424">
        <f>D1101*H1101</f>
        <v>25.08</v>
      </c>
    </row>
    <row r="1102" spans="2:10" ht="30" customHeight="1">
      <c r="B1102" s="493" t="s">
        <v>608</v>
      </c>
      <c r="C1102" s="383" t="s">
        <v>59</v>
      </c>
      <c r="D1102" s="425">
        <v>2</v>
      </c>
      <c r="E1102" s="344"/>
      <c r="F1102" s="344"/>
      <c r="G1102" s="344"/>
      <c r="H1102" s="423">
        <f>Insumos!D48</f>
        <v>5.13</v>
      </c>
      <c r="I1102" s="424">
        <f>D1102*H1102</f>
        <v>10.26</v>
      </c>
    </row>
    <row r="1103" spans="2:10">
      <c r="B1103" s="493" t="s">
        <v>609</v>
      </c>
      <c r="C1103" s="383" t="s">
        <v>59</v>
      </c>
      <c r="D1103" s="425">
        <v>4</v>
      </c>
      <c r="E1103" s="344"/>
      <c r="F1103" s="344"/>
      <c r="G1103" s="344"/>
      <c r="H1103" s="423">
        <f>Insumos!D49</f>
        <v>1.52</v>
      </c>
      <c r="I1103" s="424">
        <f>D1103*H1103</f>
        <v>6.08</v>
      </c>
    </row>
    <row r="1104" spans="2:10" ht="25.5">
      <c r="B1104" s="493" t="s">
        <v>648</v>
      </c>
      <c r="C1104" s="383" t="s">
        <v>59</v>
      </c>
      <c r="D1104" s="425">
        <v>1</v>
      </c>
      <c r="E1104" s="344"/>
      <c r="F1104" s="344"/>
      <c r="G1104" s="344"/>
      <c r="H1104" s="423">
        <f>Insumos!D50</f>
        <v>255.06</v>
      </c>
      <c r="I1104" s="424">
        <f>D1104*H1104</f>
        <v>255.06</v>
      </c>
    </row>
    <row r="1105" spans="2:10" ht="30" customHeight="1">
      <c r="B1105" s="694" t="s">
        <v>55</v>
      </c>
      <c r="C1105" s="798"/>
      <c r="D1105" s="695"/>
      <c r="E1105" s="695"/>
      <c r="F1105" s="695"/>
      <c r="G1105" s="695"/>
      <c r="H1105" s="695"/>
      <c r="I1105" s="505">
        <f>SUM(I1101:I1104)</f>
        <v>296.48</v>
      </c>
    </row>
    <row r="1106" spans="2:10" ht="30" customHeight="1">
      <c r="B1106" s="794" t="s">
        <v>60</v>
      </c>
      <c r="C1106" s="795"/>
      <c r="D1106" s="795"/>
      <c r="E1106" s="795"/>
      <c r="F1106" s="795"/>
      <c r="G1106" s="795"/>
      <c r="H1106" s="795"/>
      <c r="I1106" s="797"/>
    </row>
    <row r="1107" spans="2:10" ht="30" customHeight="1">
      <c r="B1107" s="347" t="s">
        <v>57</v>
      </c>
      <c r="C1107" s="343" t="s">
        <v>68</v>
      </c>
      <c r="D1107" s="337" t="s">
        <v>48</v>
      </c>
      <c r="E1107" s="343"/>
      <c r="F1107" s="343"/>
      <c r="G1107" s="343"/>
      <c r="H1107" s="337" t="s">
        <v>58</v>
      </c>
      <c r="I1107" s="440" t="s">
        <v>53</v>
      </c>
    </row>
    <row r="1108" spans="2:10" ht="30" customHeight="1">
      <c r="B1108" s="348"/>
      <c r="C1108" s="506"/>
      <c r="D1108" s="507"/>
      <c r="E1108" s="343"/>
      <c r="F1108" s="344"/>
      <c r="G1108" s="344"/>
      <c r="H1108" s="55"/>
      <c r="I1108" s="505">
        <f>D1108*H1108</f>
        <v>0</v>
      </c>
    </row>
    <row r="1109" spans="2:10" ht="30" customHeight="1">
      <c r="B1109" s="694" t="s">
        <v>55</v>
      </c>
      <c r="C1109" s="695"/>
      <c r="D1109" s="695"/>
      <c r="E1109" s="695"/>
      <c r="F1109" s="695"/>
      <c r="G1109" s="695"/>
      <c r="H1109" s="695"/>
      <c r="I1109" s="505">
        <f>SUM(I1108:I1108)</f>
        <v>0</v>
      </c>
    </row>
    <row r="1110" spans="2:10" ht="30" customHeight="1">
      <c r="B1110" s="794" t="s">
        <v>61</v>
      </c>
      <c r="C1110" s="795"/>
      <c r="D1110" s="795"/>
      <c r="E1110" s="795"/>
      <c r="F1110" s="795"/>
      <c r="G1110" s="795"/>
      <c r="H1110" s="795"/>
      <c r="I1110" s="797"/>
    </row>
    <row r="1111" spans="2:10" ht="30" customHeight="1">
      <c r="B1111" s="435" t="s">
        <v>57</v>
      </c>
      <c r="C1111" s="337" t="s">
        <v>68</v>
      </c>
      <c r="D1111" s="387" t="s">
        <v>48</v>
      </c>
      <c r="E1111" s="344"/>
      <c r="F1111" s="443"/>
      <c r="G1111" s="443"/>
      <c r="H1111" s="444" t="s">
        <v>58</v>
      </c>
      <c r="I1111" s="389" t="s">
        <v>53</v>
      </c>
    </row>
    <row r="1112" spans="2:10" s="434" customFormat="1" ht="30" customHeight="1">
      <c r="B1112" s="508" t="s">
        <v>76</v>
      </c>
      <c r="C1112" s="258" t="s">
        <v>54</v>
      </c>
      <c r="D1112" s="114">
        <v>5</v>
      </c>
      <c r="E1112" s="512"/>
      <c r="F1112" s="503"/>
      <c r="G1112" s="503"/>
      <c r="H1112" s="504">
        <f>Insumos!D24</f>
        <v>6.53</v>
      </c>
      <c r="I1112" s="501">
        <f>D1112*H1112</f>
        <v>32.65</v>
      </c>
      <c r="J1112" s="433"/>
    </row>
    <row r="1113" spans="2:10" s="434" customFormat="1" ht="30" customHeight="1">
      <c r="B1113" s="694" t="s">
        <v>55</v>
      </c>
      <c r="C1113" s="695"/>
      <c r="D1113" s="695"/>
      <c r="E1113" s="695"/>
      <c r="F1113" s="695"/>
      <c r="G1113" s="695"/>
      <c r="H1113" s="695"/>
      <c r="I1113" s="439">
        <f>SUM(I1112:I1112)</f>
        <v>32.65</v>
      </c>
      <c r="J1113" s="433"/>
    </row>
    <row r="1114" spans="2:10" s="434" customFormat="1" ht="30" customHeight="1">
      <c r="B1114" s="99" t="s">
        <v>62</v>
      </c>
      <c r="C1114" s="54">
        <v>1</v>
      </c>
      <c r="D1114" s="690" t="s">
        <v>63</v>
      </c>
      <c r="E1114" s="690"/>
      <c r="F1114" s="690"/>
      <c r="G1114" s="690"/>
      <c r="H1114" s="690"/>
      <c r="I1114" s="163">
        <f>I1113+I1109+I1105+I1098</f>
        <v>382.17</v>
      </c>
      <c r="J1114" s="433"/>
    </row>
    <row r="1115" spans="2:10" s="434" customFormat="1" ht="30" customHeight="1">
      <c r="B1115" s="716" t="s">
        <v>77</v>
      </c>
      <c r="C1115" s="717"/>
      <c r="D1115" s="717"/>
      <c r="E1115" s="717"/>
      <c r="F1115" s="717"/>
      <c r="G1115" s="717"/>
      <c r="H1115" s="717"/>
      <c r="I1115" s="100">
        <f>I1114/C1114</f>
        <v>382.17</v>
      </c>
      <c r="J1115" s="433"/>
    </row>
    <row r="1116" spans="2:10" s="434" customFormat="1" ht="30" customHeight="1">
      <c r="B1116" s="101" t="s">
        <v>113</v>
      </c>
      <c r="C1116" s="129">
        <v>25</v>
      </c>
      <c r="D1116" s="720" t="s">
        <v>5</v>
      </c>
      <c r="E1116" s="720"/>
      <c r="F1116" s="720"/>
      <c r="G1116" s="720"/>
      <c r="H1116" s="720"/>
      <c r="I1116" s="102">
        <f>C1116/100*I1115</f>
        <v>95.54</v>
      </c>
      <c r="J1116" s="433"/>
    </row>
    <row r="1117" spans="2:10" s="434" customFormat="1" ht="30" customHeight="1" thickBot="1">
      <c r="B1117" s="702" t="s">
        <v>64</v>
      </c>
      <c r="C1117" s="703"/>
      <c r="D1117" s="703"/>
      <c r="E1117" s="703"/>
      <c r="F1117" s="703"/>
      <c r="G1117" s="703"/>
      <c r="H1117" s="703"/>
      <c r="I1117" s="188">
        <f>I1116+I1115</f>
        <v>477.71</v>
      </c>
      <c r="J1117" s="433"/>
    </row>
    <row r="1118" spans="2:10" s="434" customFormat="1">
      <c r="B1118" s="91"/>
      <c r="C1118" s="94"/>
      <c r="D1118" s="178"/>
      <c r="E1118" s="91"/>
      <c r="F1118" s="91"/>
      <c r="G1118" s="91"/>
      <c r="H1118" s="91"/>
      <c r="I1118" s="95"/>
      <c r="J1118" s="433"/>
    </row>
    <row r="1120" spans="2:10" ht="13.5" thickBot="1"/>
    <row r="1121" spans="2:9" ht="30" customHeight="1" thickBot="1">
      <c r="B1121" s="487" t="s">
        <v>43</v>
      </c>
      <c r="C1121" s="484" t="s">
        <v>555</v>
      </c>
      <c r="D1121" s="792" t="s">
        <v>45</v>
      </c>
      <c r="E1121" s="792"/>
      <c r="F1121" s="792"/>
      <c r="G1121" s="792"/>
      <c r="H1121" s="792"/>
      <c r="I1121" s="793"/>
    </row>
    <row r="1122" spans="2:9" ht="30" customHeight="1">
      <c r="B1122" s="712" t="s">
        <v>704</v>
      </c>
      <c r="C1122" s="713"/>
      <c r="D1122" s="713"/>
      <c r="E1122" s="713"/>
      <c r="F1122" s="713"/>
      <c r="G1122" s="714"/>
      <c r="H1122" s="699" t="s">
        <v>705</v>
      </c>
      <c r="I1122" s="700"/>
    </row>
    <row r="1123" spans="2:9" ht="30" customHeight="1">
      <c r="B1123" s="790" t="s">
        <v>714</v>
      </c>
      <c r="C1123" s="791"/>
      <c r="D1123" s="791"/>
      <c r="E1123" s="791"/>
      <c r="F1123" s="791"/>
      <c r="G1123" s="791"/>
      <c r="H1123" s="479" t="s">
        <v>66</v>
      </c>
      <c r="I1123" s="442" t="s">
        <v>59</v>
      </c>
    </row>
    <row r="1124" spans="2:9" ht="30" customHeight="1">
      <c r="B1124" s="794" t="s">
        <v>46</v>
      </c>
      <c r="C1124" s="795"/>
      <c r="D1124" s="795"/>
      <c r="E1124" s="795"/>
      <c r="F1124" s="795"/>
      <c r="G1124" s="795"/>
      <c r="H1124" s="796"/>
      <c r="I1124" s="797"/>
    </row>
    <row r="1125" spans="2:9" ht="30" customHeight="1">
      <c r="B1125" s="435" t="s">
        <v>57</v>
      </c>
      <c r="C1125" s="337" t="s">
        <v>68</v>
      </c>
      <c r="D1125" s="387" t="s">
        <v>48</v>
      </c>
      <c r="E1125" s="387" t="s">
        <v>49</v>
      </c>
      <c r="F1125" s="387" t="s">
        <v>50</v>
      </c>
      <c r="G1125" s="388" t="s">
        <v>51</v>
      </c>
      <c r="H1125" s="388" t="s">
        <v>52</v>
      </c>
      <c r="I1125" s="389" t="s">
        <v>53</v>
      </c>
    </row>
    <row r="1126" spans="2:9" ht="30" customHeight="1">
      <c r="B1126" s="493"/>
      <c r="C1126" s="337"/>
      <c r="D1126" s="387"/>
      <c r="E1126" s="390"/>
      <c r="F1126" s="390"/>
      <c r="G1126" s="426"/>
      <c r="H1126" s="426"/>
      <c r="I1126" s="164">
        <f>D1126*H1126</f>
        <v>0</v>
      </c>
    </row>
    <row r="1127" spans="2:9" ht="30" customHeight="1">
      <c r="B1127" s="799" t="s">
        <v>55</v>
      </c>
      <c r="C1127" s="800"/>
      <c r="D1127" s="800"/>
      <c r="E1127" s="800"/>
      <c r="F1127" s="800"/>
      <c r="G1127" s="800"/>
      <c r="H1127" s="800"/>
      <c r="I1127" s="439">
        <f>SUM(I1126:I1126)</f>
        <v>0</v>
      </c>
    </row>
    <row r="1128" spans="2:9" ht="30" customHeight="1">
      <c r="B1128" s="794" t="s">
        <v>56</v>
      </c>
      <c r="C1128" s="795"/>
      <c r="D1128" s="795"/>
      <c r="E1128" s="795"/>
      <c r="F1128" s="795"/>
      <c r="G1128" s="795"/>
      <c r="H1128" s="795"/>
      <c r="I1128" s="797"/>
    </row>
    <row r="1129" spans="2:9" ht="30" customHeight="1">
      <c r="B1129" s="441" t="s">
        <v>57</v>
      </c>
      <c r="C1129" s="337" t="s">
        <v>68</v>
      </c>
      <c r="D1129" s="387" t="s">
        <v>48</v>
      </c>
      <c r="E1129" s="344"/>
      <c r="F1129" s="344"/>
      <c r="G1129" s="344"/>
      <c r="H1129" s="337" t="s">
        <v>58</v>
      </c>
      <c r="I1129" s="389" t="s">
        <v>53</v>
      </c>
    </row>
    <row r="1130" spans="2:9" ht="38.25">
      <c r="B1130" s="493" t="s">
        <v>733</v>
      </c>
      <c r="C1130" s="383" t="s">
        <v>59</v>
      </c>
      <c r="D1130" s="425">
        <v>1</v>
      </c>
      <c r="E1130" s="344"/>
      <c r="F1130" s="344"/>
      <c r="G1130" s="344"/>
      <c r="H1130" s="423">
        <f>Insumos!D110</f>
        <v>44.38</v>
      </c>
      <c r="I1130" s="424">
        <f>D1130*H1130</f>
        <v>44.38</v>
      </c>
    </row>
    <row r="1131" spans="2:9" ht="30" customHeight="1">
      <c r="B1131" s="694" t="s">
        <v>55</v>
      </c>
      <c r="C1131" s="798"/>
      <c r="D1131" s="695"/>
      <c r="E1131" s="695"/>
      <c r="F1131" s="695"/>
      <c r="G1131" s="695"/>
      <c r="H1131" s="695"/>
      <c r="I1131" s="505">
        <f>SUM(I1130:I1130)</f>
        <v>44.38</v>
      </c>
    </row>
    <row r="1132" spans="2:9" ht="30" customHeight="1">
      <c r="B1132" s="794" t="s">
        <v>60</v>
      </c>
      <c r="C1132" s="795"/>
      <c r="D1132" s="795"/>
      <c r="E1132" s="795"/>
      <c r="F1132" s="795"/>
      <c r="G1132" s="795"/>
      <c r="H1132" s="795"/>
      <c r="I1132" s="797"/>
    </row>
    <row r="1133" spans="2:9" ht="30" customHeight="1">
      <c r="B1133" s="347" t="s">
        <v>57</v>
      </c>
      <c r="C1133" s="343" t="s">
        <v>68</v>
      </c>
      <c r="D1133" s="337" t="s">
        <v>48</v>
      </c>
      <c r="E1133" s="343"/>
      <c r="F1133" s="343"/>
      <c r="G1133" s="343"/>
      <c r="H1133" s="337" t="s">
        <v>58</v>
      </c>
      <c r="I1133" s="440" t="s">
        <v>53</v>
      </c>
    </row>
    <row r="1134" spans="2:9" ht="30" customHeight="1">
      <c r="B1134" s="348"/>
      <c r="C1134" s="506"/>
      <c r="D1134" s="507"/>
      <c r="E1134" s="343"/>
      <c r="F1134" s="344"/>
      <c r="G1134" s="344"/>
      <c r="H1134" s="55"/>
      <c r="I1134" s="505">
        <f>D1134*H1134</f>
        <v>0</v>
      </c>
    </row>
    <row r="1135" spans="2:9" ht="30" customHeight="1">
      <c r="B1135" s="694" t="s">
        <v>55</v>
      </c>
      <c r="C1135" s="695"/>
      <c r="D1135" s="695"/>
      <c r="E1135" s="695"/>
      <c r="F1135" s="695"/>
      <c r="G1135" s="695"/>
      <c r="H1135" s="695"/>
      <c r="I1135" s="505">
        <f>SUM(I1134:I1134)</f>
        <v>0</v>
      </c>
    </row>
    <row r="1136" spans="2:9" ht="30" customHeight="1">
      <c r="B1136" s="794" t="s">
        <v>61</v>
      </c>
      <c r="C1136" s="795"/>
      <c r="D1136" s="795"/>
      <c r="E1136" s="697"/>
      <c r="F1136" s="697"/>
      <c r="G1136" s="697"/>
      <c r="H1136" s="697"/>
      <c r="I1136" s="797"/>
    </row>
    <row r="1137" spans="2:9" ht="30" customHeight="1">
      <c r="B1137" s="435" t="s">
        <v>57</v>
      </c>
      <c r="C1137" s="337" t="s">
        <v>68</v>
      </c>
      <c r="D1137" s="436" t="s">
        <v>48</v>
      </c>
      <c r="E1137" s="437"/>
      <c r="F1137" s="437"/>
      <c r="G1137" s="437"/>
      <c r="H1137" s="383" t="s">
        <v>58</v>
      </c>
      <c r="I1137" s="438" t="s">
        <v>53</v>
      </c>
    </row>
    <row r="1138" spans="2:9" ht="30" customHeight="1">
      <c r="B1138" s="508" t="s">
        <v>474</v>
      </c>
      <c r="C1138" s="258" t="s">
        <v>54</v>
      </c>
      <c r="D1138" s="436">
        <v>0.4</v>
      </c>
      <c r="E1138" s="437"/>
      <c r="F1138" s="437"/>
      <c r="G1138" s="437"/>
      <c r="H1138" s="504">
        <f>Insumos!D30</f>
        <v>8.69</v>
      </c>
      <c r="I1138" s="501">
        <f>D1138*H1138</f>
        <v>3.48</v>
      </c>
    </row>
    <row r="1139" spans="2:9" ht="30" customHeight="1">
      <c r="B1139" s="508" t="s">
        <v>76</v>
      </c>
      <c r="C1139" s="258" t="s">
        <v>54</v>
      </c>
      <c r="D1139" s="114">
        <v>0.4</v>
      </c>
      <c r="E1139" s="509"/>
      <c r="F1139" s="510"/>
      <c r="G1139" s="510"/>
      <c r="H1139" s="511">
        <f>Insumos!D24</f>
        <v>6.53</v>
      </c>
      <c r="I1139" s="501">
        <f>D1139*H1139</f>
        <v>2.61</v>
      </c>
    </row>
    <row r="1140" spans="2:9" ht="30" customHeight="1">
      <c r="B1140" s="694" t="s">
        <v>55</v>
      </c>
      <c r="C1140" s="695"/>
      <c r="D1140" s="695"/>
      <c r="E1140" s="695"/>
      <c r="F1140" s="695"/>
      <c r="G1140" s="695"/>
      <c r="H1140" s="695"/>
      <c r="I1140" s="439">
        <f>SUM(I1138:I1139)</f>
        <v>6.09</v>
      </c>
    </row>
    <row r="1141" spans="2:9" ht="30" customHeight="1">
      <c r="B1141" s="99" t="s">
        <v>62</v>
      </c>
      <c r="C1141" s="54">
        <v>1</v>
      </c>
      <c r="D1141" s="690" t="s">
        <v>63</v>
      </c>
      <c r="E1141" s="690"/>
      <c r="F1141" s="690"/>
      <c r="G1141" s="690"/>
      <c r="H1141" s="690"/>
      <c r="I1141" s="163">
        <f>I1140+I1135+I1131+I1127</f>
        <v>50.47</v>
      </c>
    </row>
    <row r="1142" spans="2:9" ht="30" customHeight="1">
      <c r="B1142" s="716" t="s">
        <v>77</v>
      </c>
      <c r="C1142" s="717"/>
      <c r="D1142" s="717"/>
      <c r="E1142" s="717"/>
      <c r="F1142" s="717"/>
      <c r="G1142" s="717"/>
      <c r="H1142" s="717"/>
      <c r="I1142" s="100">
        <f>I1141/C1141</f>
        <v>50.47</v>
      </c>
    </row>
    <row r="1143" spans="2:9" ht="30" customHeight="1">
      <c r="B1143" s="101" t="s">
        <v>113</v>
      </c>
      <c r="C1143" s="129">
        <v>25</v>
      </c>
      <c r="D1143" s="720" t="s">
        <v>5</v>
      </c>
      <c r="E1143" s="720"/>
      <c r="F1143" s="720"/>
      <c r="G1143" s="720"/>
      <c r="H1143" s="720"/>
      <c r="I1143" s="102">
        <f>C1143/100*I1142</f>
        <v>12.62</v>
      </c>
    </row>
    <row r="1144" spans="2:9" ht="30" customHeight="1" thickBot="1">
      <c r="B1144" s="702" t="s">
        <v>64</v>
      </c>
      <c r="C1144" s="703"/>
      <c r="D1144" s="703"/>
      <c r="E1144" s="703"/>
      <c r="F1144" s="703"/>
      <c r="G1144" s="703"/>
      <c r="H1144" s="703"/>
      <c r="I1144" s="188">
        <f>I1143+I1142</f>
        <v>63.09</v>
      </c>
    </row>
    <row r="1147" spans="2:9" ht="13.5" thickBot="1"/>
    <row r="1148" spans="2:9" ht="30" customHeight="1" thickBot="1">
      <c r="B1148" s="487" t="s">
        <v>43</v>
      </c>
      <c r="C1148" s="484" t="s">
        <v>459</v>
      </c>
      <c r="D1148" s="792" t="s">
        <v>45</v>
      </c>
      <c r="E1148" s="792"/>
      <c r="F1148" s="792"/>
      <c r="G1148" s="792"/>
      <c r="H1148" s="792"/>
      <c r="I1148" s="793"/>
    </row>
    <row r="1149" spans="2:9" ht="30" customHeight="1">
      <c r="B1149" s="712" t="s">
        <v>704</v>
      </c>
      <c r="C1149" s="713"/>
      <c r="D1149" s="713"/>
      <c r="E1149" s="713"/>
      <c r="F1149" s="713"/>
      <c r="G1149" s="714"/>
      <c r="H1149" s="699" t="s">
        <v>705</v>
      </c>
      <c r="I1149" s="700"/>
    </row>
    <row r="1150" spans="2:9" ht="30" customHeight="1">
      <c r="B1150" s="790" t="s">
        <v>748</v>
      </c>
      <c r="C1150" s="791"/>
      <c r="D1150" s="791"/>
      <c r="E1150" s="791"/>
      <c r="F1150" s="791"/>
      <c r="G1150" s="791"/>
      <c r="H1150" s="479" t="s">
        <v>66</v>
      </c>
      <c r="I1150" s="442" t="s">
        <v>131</v>
      </c>
    </row>
    <row r="1151" spans="2:9" ht="30" customHeight="1">
      <c r="B1151" s="815" t="s">
        <v>46</v>
      </c>
      <c r="C1151" s="816"/>
      <c r="D1151" s="816"/>
      <c r="E1151" s="816"/>
      <c r="F1151" s="816"/>
      <c r="G1151" s="816"/>
      <c r="H1151" s="816"/>
      <c r="I1151" s="817"/>
    </row>
    <row r="1152" spans="2:9" ht="30" customHeight="1">
      <c r="B1152" s="272" t="s">
        <v>57</v>
      </c>
      <c r="C1152" s="597" t="s">
        <v>47</v>
      </c>
      <c r="D1152" s="116" t="s">
        <v>48</v>
      </c>
      <c r="E1152" s="598" t="s">
        <v>49</v>
      </c>
      <c r="F1152" s="598" t="s">
        <v>50</v>
      </c>
      <c r="G1152" s="117" t="s">
        <v>51</v>
      </c>
      <c r="H1152" s="117" t="s">
        <v>52</v>
      </c>
      <c r="I1152" s="273" t="s">
        <v>53</v>
      </c>
    </row>
    <row r="1153" spans="2:9" ht="30" customHeight="1">
      <c r="B1153" s="604"/>
      <c r="C1153" s="258"/>
      <c r="D1153" s="180"/>
      <c r="E1153" s="377"/>
      <c r="F1153" s="532"/>
      <c r="G1153" s="53"/>
      <c r="H1153" s="55"/>
      <c r="I1153" s="187">
        <f>D1153*G1153</f>
        <v>0</v>
      </c>
    </row>
    <row r="1154" spans="2:9" ht="30" customHeight="1">
      <c r="B1154" s="787" t="s">
        <v>55</v>
      </c>
      <c r="C1154" s="788"/>
      <c r="D1154" s="788"/>
      <c r="E1154" s="788"/>
      <c r="F1154" s="788"/>
      <c r="G1154" s="788"/>
      <c r="H1154" s="788"/>
      <c r="I1154" s="599">
        <f>SUM(I1153:I1153)</f>
        <v>0</v>
      </c>
    </row>
    <row r="1155" spans="2:9" ht="30" customHeight="1">
      <c r="B1155" s="809" t="s">
        <v>56</v>
      </c>
      <c r="C1155" s="810"/>
      <c r="D1155" s="810"/>
      <c r="E1155" s="810"/>
      <c r="F1155" s="810"/>
      <c r="G1155" s="810"/>
      <c r="H1155" s="810"/>
      <c r="I1155" s="811"/>
    </row>
    <row r="1156" spans="2:9" ht="30" customHeight="1">
      <c r="B1156" s="600" t="s">
        <v>57</v>
      </c>
      <c r="C1156" s="597" t="s">
        <v>47</v>
      </c>
      <c r="D1156" s="451" t="s">
        <v>48</v>
      </c>
      <c r="E1156" s="452"/>
      <c r="F1156" s="452"/>
      <c r="G1156" s="452"/>
      <c r="H1156" s="258" t="s">
        <v>58</v>
      </c>
      <c r="I1156" s="465" t="s">
        <v>53</v>
      </c>
    </row>
    <row r="1157" spans="2:9" ht="38.25">
      <c r="B1157" s="604" t="s">
        <v>728</v>
      </c>
      <c r="C1157" s="222" t="s">
        <v>131</v>
      </c>
      <c r="D1157" s="114">
        <v>1</v>
      </c>
      <c r="E1157" s="118"/>
      <c r="F1157" s="118"/>
      <c r="G1157" s="118"/>
      <c r="H1157" s="53">
        <f>Insumos!D131</f>
        <v>96.28</v>
      </c>
      <c r="I1157" s="187">
        <f>D1157*H1157</f>
        <v>96.28</v>
      </c>
    </row>
    <row r="1158" spans="2:9" ht="30" customHeight="1">
      <c r="B1158" s="604" t="s">
        <v>747</v>
      </c>
      <c r="C1158" s="258" t="s">
        <v>71</v>
      </c>
      <c r="D1158" s="180">
        <v>60</v>
      </c>
      <c r="E1158" s="377"/>
      <c r="F1158" s="532"/>
      <c r="G1158" s="53"/>
      <c r="H1158" s="55">
        <f>Insumos!D108</f>
        <v>7.29</v>
      </c>
      <c r="I1158" s="187">
        <f>D1158*H1158</f>
        <v>437.4</v>
      </c>
    </row>
    <row r="1159" spans="2:9" ht="30" customHeight="1">
      <c r="B1159" s="818" t="s">
        <v>55</v>
      </c>
      <c r="C1159" s="819"/>
      <c r="D1159" s="819"/>
      <c r="E1159" s="819"/>
      <c r="F1159" s="819"/>
      <c r="G1159" s="819"/>
      <c r="H1159" s="819"/>
      <c r="I1159" s="187">
        <f>SUM(I1157:I1158)</f>
        <v>533.67999999999995</v>
      </c>
    </row>
    <row r="1160" spans="2:9" ht="30" customHeight="1">
      <c r="B1160" s="809" t="s">
        <v>60</v>
      </c>
      <c r="C1160" s="810"/>
      <c r="D1160" s="810"/>
      <c r="E1160" s="810"/>
      <c r="F1160" s="810"/>
      <c r="G1160" s="810"/>
      <c r="H1160" s="810"/>
      <c r="I1160" s="811"/>
    </row>
    <row r="1161" spans="2:9" ht="30" customHeight="1">
      <c r="B1161" s="275" t="s">
        <v>57</v>
      </c>
      <c r="C1161" s="597" t="s">
        <v>47</v>
      </c>
      <c r="D1161" s="258" t="s">
        <v>48</v>
      </c>
      <c r="E1161" s="573"/>
      <c r="F1161" s="573"/>
      <c r="G1161" s="573"/>
      <c r="H1161" s="258" t="s">
        <v>58</v>
      </c>
      <c r="I1161" s="187" t="s">
        <v>53</v>
      </c>
    </row>
    <row r="1162" spans="2:9" ht="30" customHeight="1">
      <c r="B1162" s="605" t="s">
        <v>729</v>
      </c>
      <c r="C1162" s="258" t="s">
        <v>87</v>
      </c>
      <c r="D1162" s="536">
        <v>0.04</v>
      </c>
      <c r="E1162" s="573"/>
      <c r="F1162" s="573"/>
      <c r="G1162" s="573"/>
      <c r="H1162" s="179">
        <f>I389</f>
        <v>358.39</v>
      </c>
      <c r="I1162" s="187">
        <f>D1162*H1162</f>
        <v>14.34</v>
      </c>
    </row>
    <row r="1163" spans="2:9" ht="30" customHeight="1">
      <c r="B1163" s="739" t="s">
        <v>55</v>
      </c>
      <c r="C1163" s="740"/>
      <c r="D1163" s="740"/>
      <c r="E1163" s="740"/>
      <c r="F1163" s="740"/>
      <c r="G1163" s="740"/>
      <c r="H1163" s="740"/>
      <c r="I1163" s="187">
        <f>SUM(I1162:I1162)</f>
        <v>14.34</v>
      </c>
    </row>
    <row r="1164" spans="2:9" ht="30" customHeight="1">
      <c r="B1164" s="809" t="s">
        <v>61</v>
      </c>
      <c r="C1164" s="810"/>
      <c r="D1164" s="810"/>
      <c r="E1164" s="810"/>
      <c r="F1164" s="810"/>
      <c r="G1164" s="810"/>
      <c r="H1164" s="810"/>
      <c r="I1164" s="811"/>
    </row>
    <row r="1165" spans="2:9" ht="30" customHeight="1">
      <c r="B1165" s="464" t="s">
        <v>57</v>
      </c>
      <c r="C1165" s="597" t="s">
        <v>47</v>
      </c>
      <c r="D1165" s="177" t="s">
        <v>48</v>
      </c>
      <c r="E1165" s="118"/>
      <c r="F1165" s="118"/>
      <c r="G1165" s="118"/>
      <c r="H1165" s="258" t="s">
        <v>58</v>
      </c>
      <c r="I1165" s="465" t="s">
        <v>53</v>
      </c>
    </row>
    <row r="1166" spans="2:9" ht="30" customHeight="1">
      <c r="B1166" s="606" t="s">
        <v>730</v>
      </c>
      <c r="C1166" s="590" t="s">
        <v>54</v>
      </c>
      <c r="D1166" s="601">
        <v>2</v>
      </c>
      <c r="E1166" s="118"/>
      <c r="F1166" s="118"/>
      <c r="G1166" s="118"/>
      <c r="H1166" s="504">
        <f>Insumos!D30</f>
        <v>8.69</v>
      </c>
      <c r="I1166" s="187">
        <f>D1166*H1166</f>
        <v>17.38</v>
      </c>
    </row>
    <row r="1167" spans="2:9" ht="30" customHeight="1">
      <c r="B1167" s="606" t="s">
        <v>731</v>
      </c>
      <c r="C1167" s="590" t="s">
        <v>54</v>
      </c>
      <c r="D1167" s="601">
        <v>3</v>
      </c>
      <c r="E1167" s="118"/>
      <c r="F1167" s="118"/>
      <c r="G1167" s="118"/>
      <c r="H1167" s="504">
        <f>Insumos!D26</f>
        <v>7.15</v>
      </c>
      <c r="I1167" s="187">
        <f>D1167*H1167</f>
        <v>21.45</v>
      </c>
    </row>
    <row r="1168" spans="2:9" ht="30" customHeight="1">
      <c r="B1168" s="606" t="s">
        <v>104</v>
      </c>
      <c r="C1168" s="590" t="s">
        <v>54</v>
      </c>
      <c r="D1168" s="601">
        <v>1</v>
      </c>
      <c r="E1168" s="118"/>
      <c r="F1168" s="118"/>
      <c r="G1168" s="118"/>
      <c r="H1168" s="504">
        <f>Insumos!D16</f>
        <v>8.69</v>
      </c>
      <c r="I1168" s="187">
        <f>D1168*H1168</f>
        <v>8.69</v>
      </c>
    </row>
    <row r="1169" spans="2:9" ht="30" customHeight="1">
      <c r="B1169" s="739" t="s">
        <v>55</v>
      </c>
      <c r="C1169" s="740"/>
      <c r="D1169" s="740"/>
      <c r="E1169" s="740"/>
      <c r="F1169" s="740"/>
      <c r="G1169" s="740"/>
      <c r="H1169" s="740"/>
      <c r="I1169" s="599">
        <f>SUM(I1166:I1168)</f>
        <v>47.52</v>
      </c>
    </row>
    <row r="1170" spans="2:9" ht="30" customHeight="1">
      <c r="B1170" s="276" t="s">
        <v>62</v>
      </c>
      <c r="C1170" s="259">
        <v>1</v>
      </c>
      <c r="D1170" s="740" t="s">
        <v>63</v>
      </c>
      <c r="E1170" s="740"/>
      <c r="F1170" s="740"/>
      <c r="G1170" s="740"/>
      <c r="H1170" s="740"/>
      <c r="I1170" s="599">
        <f>I1169+I1163+I1159+I1154</f>
        <v>595.54</v>
      </c>
    </row>
    <row r="1171" spans="2:9" ht="30" customHeight="1">
      <c r="B1171" s="741" t="s">
        <v>77</v>
      </c>
      <c r="C1171" s="717"/>
      <c r="D1171" s="720"/>
      <c r="E1171" s="720"/>
      <c r="F1171" s="720"/>
      <c r="G1171" s="720"/>
      <c r="H1171" s="720"/>
      <c r="I1171" s="187">
        <f>I1170/C1170</f>
        <v>595.54</v>
      </c>
    </row>
    <row r="1172" spans="2:9" ht="30" customHeight="1">
      <c r="B1172" s="261" t="s">
        <v>303</v>
      </c>
      <c r="C1172" s="262">
        <v>25</v>
      </c>
      <c r="D1172" s="733" t="s">
        <v>5</v>
      </c>
      <c r="E1172" s="734"/>
      <c r="F1172" s="734"/>
      <c r="G1172" s="734"/>
      <c r="H1172" s="735"/>
      <c r="I1172" s="187">
        <f>I1171/100*C1172</f>
        <v>148.88999999999999</v>
      </c>
    </row>
    <row r="1173" spans="2:9" ht="30" customHeight="1" thickBot="1">
      <c r="B1173" s="812" t="s">
        <v>64</v>
      </c>
      <c r="C1173" s="813"/>
      <c r="D1173" s="813"/>
      <c r="E1173" s="813"/>
      <c r="F1173" s="813"/>
      <c r="G1173" s="813"/>
      <c r="H1173" s="814"/>
      <c r="I1173" s="602">
        <f>SUM(I1171:I1172)</f>
        <v>744.43</v>
      </c>
    </row>
    <row r="1176" spans="2:9" ht="13.5" thickBot="1"/>
    <row r="1177" spans="2:9" ht="16.5" thickBot="1">
      <c r="B1177" s="487" t="s">
        <v>43</v>
      </c>
      <c r="C1177" s="484" t="s">
        <v>487</v>
      </c>
      <c r="D1177" s="792" t="s">
        <v>45</v>
      </c>
      <c r="E1177" s="792"/>
      <c r="F1177" s="792"/>
      <c r="G1177" s="792"/>
      <c r="H1177" s="792"/>
      <c r="I1177" s="793"/>
    </row>
    <row r="1178" spans="2:9">
      <c r="B1178" s="712" t="s">
        <v>704</v>
      </c>
      <c r="C1178" s="713"/>
      <c r="D1178" s="713"/>
      <c r="E1178" s="713"/>
      <c r="F1178" s="713"/>
      <c r="G1178" s="714"/>
      <c r="H1178" s="699" t="s">
        <v>705</v>
      </c>
      <c r="I1178" s="700"/>
    </row>
    <row r="1179" spans="2:9">
      <c r="B1179" s="790" t="s">
        <v>610</v>
      </c>
      <c r="C1179" s="791"/>
      <c r="D1179" s="791"/>
      <c r="E1179" s="791"/>
      <c r="F1179" s="791"/>
      <c r="G1179" s="791"/>
      <c r="H1179" s="479" t="s">
        <v>66</v>
      </c>
      <c r="I1179" s="442" t="s">
        <v>59</v>
      </c>
    </row>
    <row r="1180" spans="2:9">
      <c r="B1180" s="794" t="s">
        <v>46</v>
      </c>
      <c r="C1180" s="795"/>
      <c r="D1180" s="795"/>
      <c r="E1180" s="795"/>
      <c r="F1180" s="795"/>
      <c r="G1180" s="795"/>
      <c r="H1180" s="796"/>
      <c r="I1180" s="797"/>
    </row>
    <row r="1181" spans="2:9" ht="25.5">
      <c r="B1181" s="435" t="s">
        <v>57</v>
      </c>
      <c r="C1181" s="337" t="s">
        <v>68</v>
      </c>
      <c r="D1181" s="387" t="s">
        <v>48</v>
      </c>
      <c r="E1181" s="387" t="s">
        <v>49</v>
      </c>
      <c r="F1181" s="387" t="s">
        <v>50</v>
      </c>
      <c r="G1181" s="388" t="s">
        <v>51</v>
      </c>
      <c r="H1181" s="388" t="s">
        <v>52</v>
      </c>
      <c r="I1181" s="389" t="s">
        <v>53</v>
      </c>
    </row>
    <row r="1182" spans="2:9">
      <c r="B1182" s="345"/>
      <c r="C1182" s="255"/>
      <c r="D1182" s="341"/>
      <c r="E1182" s="256"/>
      <c r="F1182" s="256"/>
      <c r="G1182" s="342"/>
      <c r="H1182" s="342"/>
      <c r="I1182" s="122">
        <f>D1182*E1182*G1182+D1182*F1182*H1182</f>
        <v>0</v>
      </c>
    </row>
    <row r="1183" spans="2:9">
      <c r="B1183" s="799" t="s">
        <v>55</v>
      </c>
      <c r="C1183" s="800"/>
      <c r="D1183" s="800"/>
      <c r="E1183" s="800"/>
      <c r="F1183" s="800"/>
      <c r="G1183" s="800"/>
      <c r="H1183" s="800"/>
      <c r="I1183" s="346">
        <f>SUM(I1182:I1182)</f>
        <v>0</v>
      </c>
    </row>
    <row r="1184" spans="2:9">
      <c r="B1184" s="696" t="s">
        <v>56</v>
      </c>
      <c r="C1184" s="697"/>
      <c r="D1184" s="697"/>
      <c r="E1184" s="697"/>
      <c r="F1184" s="697"/>
      <c r="G1184" s="697"/>
      <c r="H1184" s="697"/>
      <c r="I1184" s="698"/>
    </row>
    <row r="1185" spans="2:9">
      <c r="B1185" s="445" t="s">
        <v>57</v>
      </c>
      <c r="C1185" s="446" t="s">
        <v>68</v>
      </c>
      <c r="D1185" s="387" t="s">
        <v>48</v>
      </c>
      <c r="E1185" s="344"/>
      <c r="F1185" s="344"/>
      <c r="G1185" s="344"/>
      <c r="H1185" s="337" t="s">
        <v>58</v>
      </c>
      <c r="I1185" s="389" t="s">
        <v>53</v>
      </c>
    </row>
    <row r="1186" spans="2:9">
      <c r="B1186" s="231" t="s">
        <v>611</v>
      </c>
      <c r="C1186" s="422" t="s">
        <v>59</v>
      </c>
      <c r="D1186" s="387">
        <v>1</v>
      </c>
      <c r="E1186" s="344"/>
      <c r="F1186" s="344"/>
      <c r="G1186" s="344"/>
      <c r="H1186" s="423">
        <f>Insumos!D114</f>
        <v>74</v>
      </c>
      <c r="I1186" s="424">
        <f>D1186*H1186</f>
        <v>74</v>
      </c>
    </row>
    <row r="1187" spans="2:9" ht="38.25">
      <c r="B1187" s="231" t="s">
        <v>612</v>
      </c>
      <c r="C1187" s="422" t="s">
        <v>59</v>
      </c>
      <c r="D1187" s="387">
        <v>1</v>
      </c>
      <c r="E1187" s="344"/>
      <c r="F1187" s="344"/>
      <c r="G1187" s="344"/>
      <c r="H1187" s="423">
        <f>Insumos!D113</f>
        <v>51.85</v>
      </c>
      <c r="I1187" s="424">
        <f>D1187*H1187</f>
        <v>51.85</v>
      </c>
    </row>
    <row r="1188" spans="2:9">
      <c r="B1188" s="231" t="s">
        <v>484</v>
      </c>
      <c r="C1188" s="383" t="s">
        <v>59</v>
      </c>
      <c r="D1188" s="425">
        <v>1</v>
      </c>
      <c r="E1188" s="344"/>
      <c r="F1188" s="344"/>
      <c r="G1188" s="344"/>
      <c r="H1188" s="423">
        <f>Insumos!D112</f>
        <v>99.38</v>
      </c>
      <c r="I1188" s="424">
        <f>D1188*H1188</f>
        <v>99.38</v>
      </c>
    </row>
    <row r="1189" spans="2:9">
      <c r="B1189" s="694" t="s">
        <v>55</v>
      </c>
      <c r="C1189" s="798"/>
      <c r="D1189" s="695"/>
      <c r="E1189" s="695"/>
      <c r="F1189" s="695"/>
      <c r="G1189" s="695"/>
      <c r="H1189" s="695"/>
      <c r="I1189" s="505">
        <f>SUM(I1186:I1188)</f>
        <v>225.23</v>
      </c>
    </row>
    <row r="1190" spans="2:9">
      <c r="B1190" s="794" t="s">
        <v>60</v>
      </c>
      <c r="C1190" s="795"/>
      <c r="D1190" s="795"/>
      <c r="E1190" s="795"/>
      <c r="F1190" s="795"/>
      <c r="G1190" s="795"/>
      <c r="H1190" s="795"/>
      <c r="I1190" s="797"/>
    </row>
    <row r="1191" spans="2:9">
      <c r="B1191" s="347" t="s">
        <v>57</v>
      </c>
      <c r="C1191" s="343" t="s">
        <v>68</v>
      </c>
      <c r="D1191" s="337" t="s">
        <v>48</v>
      </c>
      <c r="E1191" s="343"/>
      <c r="F1191" s="343"/>
      <c r="G1191" s="343"/>
      <c r="H1191" s="337" t="s">
        <v>58</v>
      </c>
      <c r="I1191" s="440" t="s">
        <v>53</v>
      </c>
    </row>
    <row r="1192" spans="2:9">
      <c r="B1192" s="348"/>
      <c r="C1192" s="506"/>
      <c r="D1192" s="507"/>
      <c r="E1192" s="343"/>
      <c r="F1192" s="344"/>
      <c r="G1192" s="344"/>
      <c r="H1192" s="55"/>
      <c r="I1192" s="505">
        <f>D1192*H1192</f>
        <v>0</v>
      </c>
    </row>
    <row r="1193" spans="2:9">
      <c r="B1193" s="694" t="s">
        <v>55</v>
      </c>
      <c r="C1193" s="695"/>
      <c r="D1193" s="695"/>
      <c r="E1193" s="695"/>
      <c r="F1193" s="695"/>
      <c r="G1193" s="695"/>
      <c r="H1193" s="695"/>
      <c r="I1193" s="505">
        <f>SUM(I1192:I1192)</f>
        <v>0</v>
      </c>
    </row>
    <row r="1194" spans="2:9">
      <c r="B1194" s="794" t="s">
        <v>61</v>
      </c>
      <c r="C1194" s="795"/>
      <c r="D1194" s="795"/>
      <c r="E1194" s="795"/>
      <c r="F1194" s="795"/>
      <c r="G1194" s="795"/>
      <c r="H1194" s="795"/>
      <c r="I1194" s="797"/>
    </row>
    <row r="1195" spans="2:9">
      <c r="B1195" s="435" t="s">
        <v>57</v>
      </c>
      <c r="C1195" s="337" t="s">
        <v>68</v>
      </c>
      <c r="D1195" s="387" t="s">
        <v>48</v>
      </c>
      <c r="E1195" s="344"/>
      <c r="F1195" s="443"/>
      <c r="G1195" s="443"/>
      <c r="H1195" s="444" t="s">
        <v>58</v>
      </c>
      <c r="I1195" s="389" t="s">
        <v>53</v>
      </c>
    </row>
    <row r="1196" spans="2:9">
      <c r="B1196" s="496" t="s">
        <v>474</v>
      </c>
      <c r="C1196" s="497" t="s">
        <v>54</v>
      </c>
      <c r="D1196" s="375">
        <v>1</v>
      </c>
      <c r="E1196" s="498"/>
      <c r="F1196" s="499"/>
      <c r="G1196" s="499"/>
      <c r="H1196" s="500">
        <f>Insumos!D30</f>
        <v>8.69</v>
      </c>
      <c r="I1196" s="501">
        <f>D1196*H1196</f>
        <v>8.69</v>
      </c>
    </row>
    <row r="1197" spans="2:9">
      <c r="B1197" s="502" t="s">
        <v>488</v>
      </c>
      <c r="C1197" s="427" t="s">
        <v>54</v>
      </c>
      <c r="D1197" s="377">
        <v>1.5</v>
      </c>
      <c r="E1197" s="503"/>
      <c r="F1197" s="503"/>
      <c r="G1197" s="503"/>
      <c r="H1197" s="504">
        <f>Insumos!D26</f>
        <v>7.15</v>
      </c>
      <c r="I1197" s="501">
        <f>D1197*H1197</f>
        <v>10.73</v>
      </c>
    </row>
    <row r="1198" spans="2:9">
      <c r="B1198" s="694" t="s">
        <v>55</v>
      </c>
      <c r="C1198" s="695"/>
      <c r="D1198" s="695"/>
      <c r="E1198" s="695"/>
      <c r="F1198" s="695"/>
      <c r="G1198" s="695"/>
      <c r="H1198" s="695"/>
      <c r="I1198" s="439">
        <f>SUM(I1196:I1197)</f>
        <v>19.420000000000002</v>
      </c>
    </row>
    <row r="1199" spans="2:9">
      <c r="B1199" s="99" t="s">
        <v>62</v>
      </c>
      <c r="C1199" s="54">
        <v>1</v>
      </c>
      <c r="D1199" s="690" t="s">
        <v>63</v>
      </c>
      <c r="E1199" s="690"/>
      <c r="F1199" s="690"/>
      <c r="G1199" s="690"/>
      <c r="H1199" s="690"/>
      <c r="I1199" s="163">
        <f>I1198+I1193+I1189+I1183</f>
        <v>244.65</v>
      </c>
    </row>
    <row r="1200" spans="2:9">
      <c r="B1200" s="716" t="s">
        <v>77</v>
      </c>
      <c r="C1200" s="717"/>
      <c r="D1200" s="717"/>
      <c r="E1200" s="717"/>
      <c r="F1200" s="717"/>
      <c r="G1200" s="717"/>
      <c r="H1200" s="717"/>
      <c r="I1200" s="100">
        <f>I1199/C1199</f>
        <v>244.65</v>
      </c>
    </row>
    <row r="1201" spans="2:9">
      <c r="B1201" s="101" t="s">
        <v>113</v>
      </c>
      <c r="C1201" s="129">
        <v>25</v>
      </c>
      <c r="D1201" s="720" t="s">
        <v>5</v>
      </c>
      <c r="E1201" s="720"/>
      <c r="F1201" s="720"/>
      <c r="G1201" s="720"/>
      <c r="H1201" s="720"/>
      <c r="I1201" s="102">
        <f>C1201/100*I1200</f>
        <v>61.16</v>
      </c>
    </row>
    <row r="1202" spans="2:9" ht="16.5" thickBot="1">
      <c r="B1202" s="702" t="s">
        <v>64</v>
      </c>
      <c r="C1202" s="703"/>
      <c r="D1202" s="703"/>
      <c r="E1202" s="703"/>
      <c r="F1202" s="703"/>
      <c r="G1202" s="703"/>
      <c r="H1202" s="703"/>
      <c r="I1202" s="188">
        <f>I1201+I1200</f>
        <v>305.81</v>
      </c>
    </row>
    <row r="1206" spans="2:9">
      <c r="C1206" s="91"/>
      <c r="D1206" s="91"/>
      <c r="I1206" s="91"/>
    </row>
    <row r="1207" spans="2:9">
      <c r="C1207" s="91"/>
      <c r="D1207" s="91"/>
      <c r="I1207" s="91"/>
    </row>
    <row r="1208" spans="2:9">
      <c r="C1208" s="91"/>
      <c r="D1208" s="91"/>
      <c r="I1208" s="91"/>
    </row>
    <row r="1209" spans="2:9">
      <c r="C1209" s="91"/>
      <c r="D1209" s="91"/>
      <c r="I1209" s="91"/>
    </row>
    <row r="1210" spans="2:9">
      <c r="C1210" s="91"/>
      <c r="D1210" s="91"/>
      <c r="I1210" s="91"/>
    </row>
    <row r="1211" spans="2:9">
      <c r="C1211" s="91"/>
      <c r="D1211" s="91"/>
      <c r="I1211" s="91"/>
    </row>
    <row r="1212" spans="2:9">
      <c r="C1212" s="91"/>
      <c r="D1212" s="91"/>
      <c r="I1212" s="91"/>
    </row>
    <row r="1213" spans="2:9">
      <c r="C1213" s="91"/>
      <c r="D1213" s="91"/>
      <c r="I1213" s="91"/>
    </row>
    <row r="1214" spans="2:9">
      <c r="C1214" s="91"/>
      <c r="D1214" s="91"/>
      <c r="I1214" s="91"/>
    </row>
    <row r="1215" spans="2:9">
      <c r="C1215" s="91"/>
      <c r="D1215" s="91"/>
      <c r="I1215" s="91"/>
    </row>
    <row r="1216" spans="2:9">
      <c r="C1216" s="91"/>
      <c r="D1216" s="91"/>
      <c r="I1216" s="91"/>
    </row>
    <row r="1217" spans="3:9">
      <c r="C1217" s="91"/>
      <c r="D1217" s="91"/>
      <c r="I1217" s="91"/>
    </row>
    <row r="1218" spans="3:9">
      <c r="C1218" s="91"/>
      <c r="D1218" s="91"/>
      <c r="I1218" s="91"/>
    </row>
    <row r="1219" spans="3:9">
      <c r="C1219" s="91"/>
      <c r="D1219" s="91"/>
      <c r="I1219" s="91"/>
    </row>
    <row r="1220" spans="3:9">
      <c r="C1220" s="91"/>
      <c r="D1220" s="91"/>
      <c r="I1220" s="91"/>
    </row>
    <row r="1221" spans="3:9">
      <c r="C1221" s="91"/>
      <c r="D1221" s="91"/>
      <c r="I1221" s="91"/>
    </row>
    <row r="1222" spans="3:9">
      <c r="C1222" s="91"/>
      <c r="D1222" s="91"/>
      <c r="I1222" s="91"/>
    </row>
    <row r="1223" spans="3:9">
      <c r="C1223" s="91"/>
      <c r="D1223" s="91"/>
      <c r="I1223" s="91"/>
    </row>
    <row r="1224" spans="3:9">
      <c r="C1224" s="91"/>
      <c r="D1224" s="91"/>
      <c r="I1224" s="91"/>
    </row>
    <row r="1225" spans="3:9">
      <c r="C1225" s="91"/>
      <c r="D1225" s="91"/>
      <c r="I1225" s="91"/>
    </row>
    <row r="1226" spans="3:9">
      <c r="C1226" s="91"/>
      <c r="D1226" s="91"/>
      <c r="I1226" s="91"/>
    </row>
    <row r="1227" spans="3:9">
      <c r="C1227" s="91"/>
      <c r="D1227" s="91"/>
      <c r="I1227" s="91"/>
    </row>
    <row r="1228" spans="3:9">
      <c r="C1228" s="91"/>
      <c r="D1228" s="91"/>
      <c r="I1228" s="91"/>
    </row>
    <row r="1229" spans="3:9">
      <c r="C1229" s="91"/>
      <c r="D1229" s="91"/>
      <c r="I1229" s="91"/>
    </row>
    <row r="1230" spans="3:9">
      <c r="C1230" s="91"/>
      <c r="D1230" s="91"/>
      <c r="I1230" s="91"/>
    </row>
    <row r="1231" spans="3:9">
      <c r="C1231" s="91"/>
      <c r="D1231" s="91"/>
      <c r="I1231" s="91"/>
    </row>
    <row r="1232" spans="3:9">
      <c r="C1232" s="91"/>
      <c r="D1232" s="91"/>
      <c r="I1232" s="91"/>
    </row>
    <row r="1233" spans="3:9">
      <c r="C1233" s="91"/>
      <c r="D1233" s="91"/>
      <c r="I1233" s="91"/>
    </row>
    <row r="1234" spans="3:9">
      <c r="C1234" s="91"/>
      <c r="D1234" s="91"/>
      <c r="I1234" s="91"/>
    </row>
    <row r="1235" spans="3:9">
      <c r="C1235" s="91"/>
      <c r="D1235" s="91"/>
      <c r="I1235" s="91"/>
    </row>
    <row r="1236" spans="3:9">
      <c r="C1236" s="91"/>
      <c r="D1236" s="91"/>
      <c r="I1236" s="91"/>
    </row>
    <row r="1237" spans="3:9">
      <c r="C1237" s="91"/>
      <c r="D1237" s="91"/>
      <c r="I1237" s="91"/>
    </row>
    <row r="1238" spans="3:9">
      <c r="C1238" s="91"/>
      <c r="D1238" s="91"/>
      <c r="I1238" s="91"/>
    </row>
  </sheetData>
  <sheetProtection selectLockedCells="1" selectUnlockedCells="1"/>
  <mergeCells count="673">
    <mergeCell ref="L229:R229"/>
    <mergeCell ref="B247:H247"/>
    <mergeCell ref="B248:I248"/>
    <mergeCell ref="B251:H251"/>
    <mergeCell ref="D252:H252"/>
    <mergeCell ref="L225:Q225"/>
    <mergeCell ref="B253:H253"/>
    <mergeCell ref="L226:S226"/>
    <mergeCell ref="D254:H254"/>
    <mergeCell ref="D233:I233"/>
    <mergeCell ref="B234:G234"/>
    <mergeCell ref="H234:I234"/>
    <mergeCell ref="B235:G235"/>
    <mergeCell ref="B236:I236"/>
    <mergeCell ref="B239:H239"/>
    <mergeCell ref="B240:I240"/>
    <mergeCell ref="B243:H243"/>
    <mergeCell ref="B244:I244"/>
    <mergeCell ref="B1163:H1163"/>
    <mergeCell ref="B1164:I1164"/>
    <mergeCell ref="B1169:H1169"/>
    <mergeCell ref="D1170:H1170"/>
    <mergeCell ref="B1171:H1171"/>
    <mergeCell ref="D1172:H1172"/>
    <mergeCell ref="B1173:H1173"/>
    <mergeCell ref="D1148:I1148"/>
    <mergeCell ref="B1149:G1149"/>
    <mergeCell ref="H1149:I1149"/>
    <mergeCell ref="B1150:G1150"/>
    <mergeCell ref="B1151:I1151"/>
    <mergeCell ref="B1154:H1154"/>
    <mergeCell ref="B1155:I1155"/>
    <mergeCell ref="B1159:H1159"/>
    <mergeCell ref="B1160:I1160"/>
    <mergeCell ref="B285:H285"/>
    <mergeCell ref="D284:H284"/>
    <mergeCell ref="L259:R259"/>
    <mergeCell ref="B260:G260"/>
    <mergeCell ref="H260:I260"/>
    <mergeCell ref="L282:Q282"/>
    <mergeCell ref="L283:S283"/>
    <mergeCell ref="L255:Q255"/>
    <mergeCell ref="L256:S256"/>
    <mergeCell ref="B269:H269"/>
    <mergeCell ref="B270:I270"/>
    <mergeCell ref="B273:H273"/>
    <mergeCell ref="B274:I274"/>
    <mergeCell ref="B277:H277"/>
    <mergeCell ref="B278:I278"/>
    <mergeCell ref="B281:H281"/>
    <mergeCell ref="D282:H282"/>
    <mergeCell ref="B283:H283"/>
    <mergeCell ref="B255:H255"/>
    <mergeCell ref="B2:I5"/>
    <mergeCell ref="H7:I7"/>
    <mergeCell ref="H41:I41"/>
    <mergeCell ref="H70:I70"/>
    <mergeCell ref="H104:I104"/>
    <mergeCell ref="H147:I147"/>
    <mergeCell ref="H177:I177"/>
    <mergeCell ref="B1140:H1140"/>
    <mergeCell ref="D1141:H1141"/>
    <mergeCell ref="B1064:G1064"/>
    <mergeCell ref="H1064:I1064"/>
    <mergeCell ref="B1069:H1069"/>
    <mergeCell ref="B1070:I1070"/>
    <mergeCell ref="B1043:I1043"/>
    <mergeCell ref="B1046:H1046"/>
    <mergeCell ref="B1037:G1037"/>
    <mergeCell ref="B1047:I1047"/>
    <mergeCell ref="B1050:H1050"/>
    <mergeCell ref="B1051:I1051"/>
    <mergeCell ref="B1055:H1055"/>
    <mergeCell ref="D1056:H1056"/>
    <mergeCell ref="B1057:H1057"/>
    <mergeCell ref="B1003:H1003"/>
    <mergeCell ref="D1004:H1004"/>
    <mergeCell ref="B1142:H1142"/>
    <mergeCell ref="D1143:H1143"/>
    <mergeCell ref="D1121:I1121"/>
    <mergeCell ref="B1122:G1122"/>
    <mergeCell ref="H1122:I1122"/>
    <mergeCell ref="B1123:G1123"/>
    <mergeCell ref="H203:I203"/>
    <mergeCell ref="H290:I290"/>
    <mergeCell ref="H317:I317"/>
    <mergeCell ref="H343:I343"/>
    <mergeCell ref="H370:I370"/>
    <mergeCell ref="B1093:G1093"/>
    <mergeCell ref="H1093:I1093"/>
    <mergeCell ref="B1084:H1084"/>
    <mergeCell ref="D1085:H1085"/>
    <mergeCell ref="B1086:H1086"/>
    <mergeCell ref="D1087:H1087"/>
    <mergeCell ref="B1088:H1088"/>
    <mergeCell ref="D1092:I1092"/>
    <mergeCell ref="D1058:H1058"/>
    <mergeCell ref="B1059:H1059"/>
    <mergeCell ref="D1063:I1063"/>
    <mergeCell ref="B1065:G1065"/>
    <mergeCell ref="B1066:I1066"/>
    <mergeCell ref="D1201:H1201"/>
    <mergeCell ref="B1202:H1202"/>
    <mergeCell ref="B1190:I1190"/>
    <mergeCell ref="B1193:H1193"/>
    <mergeCell ref="B1194:I1194"/>
    <mergeCell ref="B1198:H1198"/>
    <mergeCell ref="D1199:H1199"/>
    <mergeCell ref="D977:H977"/>
    <mergeCell ref="B978:H978"/>
    <mergeCell ref="B1124:I1124"/>
    <mergeCell ref="B1127:H1127"/>
    <mergeCell ref="B1144:H1144"/>
    <mergeCell ref="B1128:I1128"/>
    <mergeCell ref="B1131:H1131"/>
    <mergeCell ref="B1132:I1132"/>
    <mergeCell ref="B1135:H1135"/>
    <mergeCell ref="B1136:I1136"/>
    <mergeCell ref="D1177:I1177"/>
    <mergeCell ref="B1179:G1179"/>
    <mergeCell ref="B1180:I1180"/>
    <mergeCell ref="B1183:H1183"/>
    <mergeCell ref="B1184:I1184"/>
    <mergeCell ref="B1189:H1189"/>
    <mergeCell ref="B1178:G1178"/>
    <mergeCell ref="H1178:I1178"/>
    <mergeCell ref="B1200:H1200"/>
    <mergeCell ref="D1116:H1116"/>
    <mergeCell ref="B1117:H1117"/>
    <mergeCell ref="B1028:H1028"/>
    <mergeCell ref="D1029:H1029"/>
    <mergeCell ref="B1030:H1030"/>
    <mergeCell ref="D1031:H1031"/>
    <mergeCell ref="B1032:H1032"/>
    <mergeCell ref="B1106:I1106"/>
    <mergeCell ref="B1109:H1109"/>
    <mergeCell ref="B1110:I1110"/>
    <mergeCell ref="B1113:H1113"/>
    <mergeCell ref="D1114:H1114"/>
    <mergeCell ref="B1094:G1094"/>
    <mergeCell ref="B1095:I1095"/>
    <mergeCell ref="B1098:H1098"/>
    <mergeCell ref="B1099:I1099"/>
    <mergeCell ref="B1105:H1105"/>
    <mergeCell ref="B1115:H1115"/>
    <mergeCell ref="B1075:H1075"/>
    <mergeCell ref="B1076:I1076"/>
    <mergeCell ref="B1079:H1079"/>
    <mergeCell ref="B1080:I1080"/>
    <mergeCell ref="B1005:H1005"/>
    <mergeCell ref="D1036:I1036"/>
    <mergeCell ref="B1038:G1038"/>
    <mergeCell ref="B1039:I1039"/>
    <mergeCell ref="B1042:H1042"/>
    <mergeCell ref="B1016:I1016"/>
    <mergeCell ref="B1019:H1019"/>
    <mergeCell ref="B1020:I1020"/>
    <mergeCell ref="B1023:H1023"/>
    <mergeCell ref="B1024:I1024"/>
    <mergeCell ref="D1009:I1009"/>
    <mergeCell ref="B1010:G1010"/>
    <mergeCell ref="H1010:I1010"/>
    <mergeCell ref="B1011:G1011"/>
    <mergeCell ref="B1012:I1012"/>
    <mergeCell ref="B1015:H1015"/>
    <mergeCell ref="H1037:I1037"/>
    <mergeCell ref="B988:H988"/>
    <mergeCell ref="B989:I989"/>
    <mergeCell ref="B992:H992"/>
    <mergeCell ref="B993:I993"/>
    <mergeCell ref="B984:G984"/>
    <mergeCell ref="B996:H996"/>
    <mergeCell ref="B997:I997"/>
    <mergeCell ref="B1001:H1001"/>
    <mergeCell ref="D1002:H1002"/>
    <mergeCell ref="D947:I947"/>
    <mergeCell ref="B948:G948"/>
    <mergeCell ref="B949:G949"/>
    <mergeCell ref="B924:I924"/>
    <mergeCell ref="B927:H927"/>
    <mergeCell ref="B928:I928"/>
    <mergeCell ref="B931:H931"/>
    <mergeCell ref="B985:I985"/>
    <mergeCell ref="B983:G983"/>
    <mergeCell ref="B964:H964"/>
    <mergeCell ref="B965:I965"/>
    <mergeCell ref="B968:H968"/>
    <mergeCell ref="B969:I969"/>
    <mergeCell ref="D975:H975"/>
    <mergeCell ref="B976:H976"/>
    <mergeCell ref="B953:H953"/>
    <mergeCell ref="H948:I948"/>
    <mergeCell ref="H983:I983"/>
    <mergeCell ref="D940:H940"/>
    <mergeCell ref="B941:H941"/>
    <mergeCell ref="D942:H942"/>
    <mergeCell ref="B943:H943"/>
    <mergeCell ref="B950:I950"/>
    <mergeCell ref="D982:I982"/>
    <mergeCell ref="B915:H915"/>
    <mergeCell ref="D916:H916"/>
    <mergeCell ref="B917:H917"/>
    <mergeCell ref="B832:I832"/>
    <mergeCell ref="B835:H835"/>
    <mergeCell ref="B836:I836"/>
    <mergeCell ref="B839:H839"/>
    <mergeCell ref="B840:I840"/>
    <mergeCell ref="D851:H851"/>
    <mergeCell ref="B852:H852"/>
    <mergeCell ref="B843:H843"/>
    <mergeCell ref="B844:I844"/>
    <mergeCell ref="B848:H848"/>
    <mergeCell ref="D849:H849"/>
    <mergeCell ref="B850:H850"/>
    <mergeCell ref="D886:I886"/>
    <mergeCell ref="B887:G887"/>
    <mergeCell ref="H857:I857"/>
    <mergeCell ref="D856:I856"/>
    <mergeCell ref="B857:G857"/>
    <mergeCell ref="B858:G858"/>
    <mergeCell ref="B913:H913"/>
    <mergeCell ref="D914:H914"/>
    <mergeCell ref="D879:H879"/>
    <mergeCell ref="B880:H880"/>
    <mergeCell ref="B905:I905"/>
    <mergeCell ref="B831:G831"/>
    <mergeCell ref="B882:H882"/>
    <mergeCell ref="D881:H881"/>
    <mergeCell ref="B874:I874"/>
    <mergeCell ref="B878:H878"/>
    <mergeCell ref="B859:I859"/>
    <mergeCell ref="B862:H862"/>
    <mergeCell ref="B863:I863"/>
    <mergeCell ref="B869:H869"/>
    <mergeCell ref="B870:I870"/>
    <mergeCell ref="B873:H873"/>
    <mergeCell ref="D829:I829"/>
    <mergeCell ref="B830:G830"/>
    <mergeCell ref="H830:I830"/>
    <mergeCell ref="B803:G803"/>
    <mergeCell ref="B804:I804"/>
    <mergeCell ref="B807:H807"/>
    <mergeCell ref="B808:I808"/>
    <mergeCell ref="B812:H812"/>
    <mergeCell ref="H802:I802"/>
    <mergeCell ref="B813:I813"/>
    <mergeCell ref="B816:H816"/>
    <mergeCell ref="B817:I817"/>
    <mergeCell ref="B821:H821"/>
    <mergeCell ref="D822:H822"/>
    <mergeCell ref="B823:H823"/>
    <mergeCell ref="D824:H824"/>
    <mergeCell ref="B825:H825"/>
    <mergeCell ref="B788:H788"/>
    <mergeCell ref="B789:I789"/>
    <mergeCell ref="B793:H793"/>
    <mergeCell ref="D794:H794"/>
    <mergeCell ref="B795:H795"/>
    <mergeCell ref="D796:H796"/>
    <mergeCell ref="B797:H797"/>
    <mergeCell ref="D801:I801"/>
    <mergeCell ref="B802:G802"/>
    <mergeCell ref="B784:H784"/>
    <mergeCell ref="B785:I785"/>
    <mergeCell ref="B767:H767"/>
    <mergeCell ref="D771:I771"/>
    <mergeCell ref="B772:G772"/>
    <mergeCell ref="H772:I772"/>
    <mergeCell ref="B754:H754"/>
    <mergeCell ref="B755:I755"/>
    <mergeCell ref="B758:H758"/>
    <mergeCell ref="B759:I759"/>
    <mergeCell ref="B763:H763"/>
    <mergeCell ref="B777:H777"/>
    <mergeCell ref="D764:H764"/>
    <mergeCell ref="B765:H765"/>
    <mergeCell ref="D766:H766"/>
    <mergeCell ref="B628:I628"/>
    <mergeCell ref="B631:H631"/>
    <mergeCell ref="D677:H677"/>
    <mergeCell ref="B658:I658"/>
    <mergeCell ref="B745:G745"/>
    <mergeCell ref="B746:I746"/>
    <mergeCell ref="B749:H749"/>
    <mergeCell ref="B750:I750"/>
    <mergeCell ref="B778:I778"/>
    <mergeCell ref="B666:I666"/>
    <mergeCell ref="B669:H669"/>
    <mergeCell ref="B670:I670"/>
    <mergeCell ref="D743:I743"/>
    <mergeCell ref="B744:G744"/>
    <mergeCell ref="D684:I684"/>
    <mergeCell ref="B685:G685"/>
    <mergeCell ref="B676:H676"/>
    <mergeCell ref="B678:H678"/>
    <mergeCell ref="B680:H680"/>
    <mergeCell ref="D679:H679"/>
    <mergeCell ref="B540:H540"/>
    <mergeCell ref="B559:H559"/>
    <mergeCell ref="B560:I560"/>
    <mergeCell ref="B581:H581"/>
    <mergeCell ref="B610:I610"/>
    <mergeCell ref="B586:I586"/>
    <mergeCell ref="B590:H590"/>
    <mergeCell ref="B592:H592"/>
    <mergeCell ref="B613:H613"/>
    <mergeCell ref="B609:H609"/>
    <mergeCell ref="B556:I556"/>
    <mergeCell ref="B573:G573"/>
    <mergeCell ref="H572:I572"/>
    <mergeCell ref="B551:I551"/>
    <mergeCell ref="B555:H555"/>
    <mergeCell ref="B601:I601"/>
    <mergeCell ref="B605:I605"/>
    <mergeCell ref="D591:H591"/>
    <mergeCell ref="H545:I545"/>
    <mergeCell ref="B604:H604"/>
    <mergeCell ref="B531:H531"/>
    <mergeCell ref="B532:I532"/>
    <mergeCell ref="B527:H527"/>
    <mergeCell ref="B528:I528"/>
    <mergeCell ref="B427:G427"/>
    <mergeCell ref="H481:I481"/>
    <mergeCell ref="B482:G482"/>
    <mergeCell ref="B483:I483"/>
    <mergeCell ref="D539:H539"/>
    <mergeCell ref="B519:G519"/>
    <mergeCell ref="B428:I428"/>
    <mergeCell ref="B474:H474"/>
    <mergeCell ref="D475:H475"/>
    <mergeCell ref="B476:H476"/>
    <mergeCell ref="B437:I437"/>
    <mergeCell ref="B440:H440"/>
    <mergeCell ref="B441:I441"/>
    <mergeCell ref="B445:H445"/>
    <mergeCell ref="D446:H446"/>
    <mergeCell ref="B447:H447"/>
    <mergeCell ref="D448:H448"/>
    <mergeCell ref="B449:H449"/>
    <mergeCell ref="B499:I499"/>
    <mergeCell ref="B486:H486"/>
    <mergeCell ref="B523:H523"/>
    <mergeCell ref="B524:I524"/>
    <mergeCell ref="B432:H432"/>
    <mergeCell ref="B433:I433"/>
    <mergeCell ref="B436:H436"/>
    <mergeCell ref="B426:G426"/>
    <mergeCell ref="H426:I426"/>
    <mergeCell ref="B472:H472"/>
    <mergeCell ref="D473:H473"/>
    <mergeCell ref="B455:G455"/>
    <mergeCell ref="B456:I456"/>
    <mergeCell ref="B459:H459"/>
    <mergeCell ref="H518:I518"/>
    <mergeCell ref="B503:I503"/>
    <mergeCell ref="B460:I460"/>
    <mergeCell ref="B464:H464"/>
    <mergeCell ref="B487:I487"/>
    <mergeCell ref="B498:H498"/>
    <mergeCell ref="D512:H512"/>
    <mergeCell ref="B513:H513"/>
    <mergeCell ref="B164:I164"/>
    <mergeCell ref="B152:H152"/>
    <mergeCell ref="B182:H182"/>
    <mergeCell ref="B183:I183"/>
    <mergeCell ref="B186:H186"/>
    <mergeCell ref="D171:H171"/>
    <mergeCell ref="B172:H172"/>
    <mergeCell ref="B179:I179"/>
    <mergeCell ref="B178:G178"/>
    <mergeCell ref="D176:I176"/>
    <mergeCell ref="B170:H170"/>
    <mergeCell ref="B168:H168"/>
    <mergeCell ref="D6:I6"/>
    <mergeCell ref="B8:G8"/>
    <mergeCell ref="B9:I9"/>
    <mergeCell ref="B18:H18"/>
    <mergeCell ref="B36:H36"/>
    <mergeCell ref="D40:I40"/>
    <mergeCell ref="B23:H23"/>
    <mergeCell ref="B52:H52"/>
    <mergeCell ref="B65:H65"/>
    <mergeCell ref="B41:G41"/>
    <mergeCell ref="B7:G7"/>
    <mergeCell ref="B32:H32"/>
    <mergeCell ref="D33:H33"/>
    <mergeCell ref="B34:H34"/>
    <mergeCell ref="D35:H35"/>
    <mergeCell ref="B19:I19"/>
    <mergeCell ref="B24:I24"/>
    <mergeCell ref="B27:H27"/>
    <mergeCell ref="B53:I53"/>
    <mergeCell ref="B57:I57"/>
    <mergeCell ref="B42:G42"/>
    <mergeCell ref="B43:I43"/>
    <mergeCell ref="B46:I46"/>
    <mergeCell ref="B138:H138"/>
    <mergeCell ref="B61:H61"/>
    <mergeCell ref="D62:H62"/>
    <mergeCell ref="B63:H63"/>
    <mergeCell ref="D64:H64"/>
    <mergeCell ref="B134:I134"/>
    <mergeCell ref="B99:H99"/>
    <mergeCell ref="B104:G104"/>
    <mergeCell ref="B130:I130"/>
    <mergeCell ref="D103:I103"/>
    <mergeCell ref="B129:H129"/>
    <mergeCell ref="B105:G105"/>
    <mergeCell ref="B106:I106"/>
    <mergeCell ref="B133:H133"/>
    <mergeCell ref="B109:H109"/>
    <mergeCell ref="B110:I110"/>
    <mergeCell ref="D69:I69"/>
    <mergeCell ref="B71:G71"/>
    <mergeCell ref="B70:G70"/>
    <mergeCell ref="B97:H97"/>
    <mergeCell ref="D98:H98"/>
    <mergeCell ref="B72:I72"/>
    <mergeCell ref="B81:H81"/>
    <mergeCell ref="B82:I82"/>
    <mergeCell ref="B204:G204"/>
    <mergeCell ref="B225:H225"/>
    <mergeCell ref="D226:H226"/>
    <mergeCell ref="D228:H228"/>
    <mergeCell ref="B229:H229"/>
    <mergeCell ref="N301:R301"/>
    <mergeCell ref="B28:I28"/>
    <mergeCell ref="D202:I202"/>
    <mergeCell ref="B205:I205"/>
    <mergeCell ref="B209:H209"/>
    <mergeCell ref="B210:I210"/>
    <mergeCell ref="B220:H220"/>
    <mergeCell ref="B221:I221"/>
    <mergeCell ref="B147:G147"/>
    <mergeCell ref="D139:H139"/>
    <mergeCell ref="B140:H140"/>
    <mergeCell ref="D141:H141"/>
    <mergeCell ref="B142:H142"/>
    <mergeCell ref="D146:I146"/>
    <mergeCell ref="B153:I153"/>
    <mergeCell ref="B159:H159"/>
    <mergeCell ref="B160:I160"/>
    <mergeCell ref="D169:H169"/>
    <mergeCell ref="B163:H163"/>
    <mergeCell ref="B148:G148"/>
    <mergeCell ref="B149:I149"/>
    <mergeCell ref="B227:H227"/>
    <mergeCell ref="L303:R303"/>
    <mergeCell ref="L304:R304"/>
    <mergeCell ref="D289:I289"/>
    <mergeCell ref="B388:H388"/>
    <mergeCell ref="B323:I323"/>
    <mergeCell ref="B326:H326"/>
    <mergeCell ref="B291:G291"/>
    <mergeCell ref="B216:H216"/>
    <mergeCell ref="B217:I217"/>
    <mergeCell ref="B290:G290"/>
    <mergeCell ref="N287:S287"/>
    <mergeCell ref="L289:Q289"/>
    <mergeCell ref="D342:I342"/>
    <mergeCell ref="B343:G343"/>
    <mergeCell ref="B345:I345"/>
    <mergeCell ref="B365:H365"/>
    <mergeCell ref="B381:I381"/>
    <mergeCell ref="B384:H384"/>
    <mergeCell ref="B352:H352"/>
    <mergeCell ref="B353:I353"/>
    <mergeCell ref="B356:H356"/>
    <mergeCell ref="L302:R302"/>
    <mergeCell ref="B509:H509"/>
    <mergeCell ref="D510:H510"/>
    <mergeCell ref="B511:H511"/>
    <mergeCell ref="B550:H550"/>
    <mergeCell ref="L307:Q307"/>
    <mergeCell ref="L308:S308"/>
    <mergeCell ref="L311:R311"/>
    <mergeCell ref="D391:H391"/>
    <mergeCell ref="D362:H362"/>
    <mergeCell ref="B363:H363"/>
    <mergeCell ref="D364:H364"/>
    <mergeCell ref="B371:G371"/>
    <mergeCell ref="B372:I372"/>
    <mergeCell ref="D369:I369"/>
    <mergeCell ref="B370:G370"/>
    <mergeCell ref="B536:H536"/>
    <mergeCell ref="D517:I517"/>
    <mergeCell ref="B518:G518"/>
    <mergeCell ref="D480:I480"/>
    <mergeCell ref="B481:G481"/>
    <mergeCell ref="D537:H537"/>
    <mergeCell ref="B502:H502"/>
    <mergeCell ref="B520:I520"/>
    <mergeCell ref="B538:H538"/>
    <mergeCell ref="L340:S340"/>
    <mergeCell ref="B889:I889"/>
    <mergeCell ref="D564:H564"/>
    <mergeCell ref="B565:H565"/>
    <mergeCell ref="D566:H566"/>
    <mergeCell ref="B567:H567"/>
    <mergeCell ref="B585:H585"/>
    <mergeCell ref="B888:G888"/>
    <mergeCell ref="B577:H577"/>
    <mergeCell ref="B578:I578"/>
    <mergeCell ref="D571:I571"/>
    <mergeCell ref="B572:G572"/>
    <mergeCell ref="B574:I574"/>
    <mergeCell ref="D651:I651"/>
    <mergeCell ref="D644:H644"/>
    <mergeCell ref="B645:H645"/>
    <mergeCell ref="D646:H646"/>
    <mergeCell ref="D620:H620"/>
    <mergeCell ref="B632:I632"/>
    <mergeCell ref="B635:H635"/>
    <mergeCell ref="B636:I636"/>
    <mergeCell ref="B639:H639"/>
    <mergeCell ref="B640:I640"/>
    <mergeCell ref="D335:H335"/>
    <mergeCell ref="D337:H337"/>
    <mergeCell ref="B338:H338"/>
    <mergeCell ref="B410:I410"/>
    <mergeCell ref="B413:H413"/>
    <mergeCell ref="B344:G344"/>
    <mergeCell ref="B348:H348"/>
    <mergeCell ref="B349:I349"/>
    <mergeCell ref="B385:I385"/>
    <mergeCell ref="D389:H389"/>
    <mergeCell ref="B375:H375"/>
    <mergeCell ref="B376:I376"/>
    <mergeCell ref="B380:H380"/>
    <mergeCell ref="D311:H311"/>
    <mergeCell ref="B198:H198"/>
    <mergeCell ref="B194:H194"/>
    <mergeCell ref="D197:H197"/>
    <mergeCell ref="B177:G177"/>
    <mergeCell ref="B187:I187"/>
    <mergeCell ref="B190:H190"/>
    <mergeCell ref="B191:I191"/>
    <mergeCell ref="D195:H195"/>
    <mergeCell ref="B196:H196"/>
    <mergeCell ref="B203:G203"/>
    <mergeCell ref="B292:I292"/>
    <mergeCell ref="B296:H296"/>
    <mergeCell ref="B297:I297"/>
    <mergeCell ref="B300:H300"/>
    <mergeCell ref="B301:I301"/>
    <mergeCell ref="B304:H304"/>
    <mergeCell ref="B305:I305"/>
    <mergeCell ref="B308:H308"/>
    <mergeCell ref="D309:H309"/>
    <mergeCell ref="B310:H310"/>
    <mergeCell ref="D259:I259"/>
    <mergeCell ref="B261:G261"/>
    <mergeCell ref="B262:I262"/>
    <mergeCell ref="B312:H312"/>
    <mergeCell ref="B600:G600"/>
    <mergeCell ref="D418:H418"/>
    <mergeCell ref="B419:H419"/>
    <mergeCell ref="D420:H420"/>
    <mergeCell ref="B330:H330"/>
    <mergeCell ref="D544:I544"/>
    <mergeCell ref="B545:G545"/>
    <mergeCell ref="B546:G546"/>
    <mergeCell ref="B547:I547"/>
    <mergeCell ref="D593:H593"/>
    <mergeCell ref="B594:H594"/>
    <mergeCell ref="H599:I599"/>
    <mergeCell ref="D598:I598"/>
    <mergeCell ref="B599:G599"/>
    <mergeCell ref="B465:I465"/>
    <mergeCell ref="B468:H468"/>
    <mergeCell ref="B563:H563"/>
    <mergeCell ref="B582:I582"/>
    <mergeCell ref="B469:I469"/>
    <mergeCell ref="D316:I316"/>
    <mergeCell ref="B317:G317"/>
    <mergeCell ref="B318:G318"/>
    <mergeCell ref="B319:I319"/>
    <mergeCell ref="B322:H322"/>
    <mergeCell ref="B454:G454"/>
    <mergeCell ref="H454:I454"/>
    <mergeCell ref="B327:I327"/>
    <mergeCell ref="B331:I331"/>
    <mergeCell ref="B414:I414"/>
    <mergeCell ref="D396:I396"/>
    <mergeCell ref="B397:G397"/>
    <mergeCell ref="H397:I397"/>
    <mergeCell ref="B398:G398"/>
    <mergeCell ref="B399:I399"/>
    <mergeCell ref="B402:H402"/>
    <mergeCell ref="B409:H409"/>
    <mergeCell ref="B417:H417"/>
    <mergeCell ref="B421:H421"/>
    <mergeCell ref="D425:I425"/>
    <mergeCell ref="B390:H390"/>
    <mergeCell ref="B357:I357"/>
    <mergeCell ref="B361:H361"/>
    <mergeCell ref="B392:H392"/>
    <mergeCell ref="B403:I403"/>
    <mergeCell ref="D453:I453"/>
    <mergeCell ref="B336:H336"/>
    <mergeCell ref="B334:H334"/>
    <mergeCell ref="B773:G773"/>
    <mergeCell ref="B774:I774"/>
    <mergeCell ref="B735:H735"/>
    <mergeCell ref="D736:H736"/>
    <mergeCell ref="B737:H737"/>
    <mergeCell ref="D738:H738"/>
    <mergeCell ref="B614:I614"/>
    <mergeCell ref="B617:H617"/>
    <mergeCell ref="D618:H618"/>
    <mergeCell ref="B619:H619"/>
    <mergeCell ref="B626:G626"/>
    <mergeCell ref="B621:H621"/>
    <mergeCell ref="D625:I625"/>
    <mergeCell ref="B657:H657"/>
    <mergeCell ref="H626:I626"/>
    <mergeCell ref="H652:I652"/>
    <mergeCell ref="B643:H643"/>
    <mergeCell ref="B654:I654"/>
    <mergeCell ref="B652:G652"/>
    <mergeCell ref="B653:G653"/>
    <mergeCell ref="B647:H647"/>
    <mergeCell ref="B665:H665"/>
    <mergeCell ref="B627:G627"/>
    <mergeCell ref="B701:H701"/>
    <mergeCell ref="B939:H939"/>
    <mergeCell ref="B974:H974"/>
    <mergeCell ref="B954:I954"/>
    <mergeCell ref="H685:I685"/>
    <mergeCell ref="H716:I716"/>
    <mergeCell ref="H744:I744"/>
    <mergeCell ref="H887:I887"/>
    <mergeCell ref="H922:I922"/>
    <mergeCell ref="B711:H711"/>
    <mergeCell ref="B707:H707"/>
    <mergeCell ref="D708:H708"/>
    <mergeCell ref="B702:I702"/>
    <mergeCell ref="B691:H691"/>
    <mergeCell ref="B692:I692"/>
    <mergeCell ref="B697:H697"/>
    <mergeCell ref="B698:I698"/>
    <mergeCell ref="B686:G686"/>
    <mergeCell ref="B687:I687"/>
    <mergeCell ref="B730:H730"/>
    <mergeCell ref="B739:H739"/>
    <mergeCell ref="B731:I731"/>
    <mergeCell ref="D921:I921"/>
    <mergeCell ref="B922:G922"/>
    <mergeCell ref="B923:G923"/>
    <mergeCell ref="B86:H86"/>
    <mergeCell ref="B87:I87"/>
    <mergeCell ref="B90:H90"/>
    <mergeCell ref="B91:I91"/>
    <mergeCell ref="B95:H95"/>
    <mergeCell ref="D96:H96"/>
    <mergeCell ref="B932:I932"/>
    <mergeCell ref="B935:H935"/>
    <mergeCell ref="B936:I936"/>
    <mergeCell ref="B709:H709"/>
    <mergeCell ref="B892:H892"/>
    <mergeCell ref="B893:I893"/>
    <mergeCell ref="B904:H904"/>
    <mergeCell ref="D710:H710"/>
    <mergeCell ref="B718:I718"/>
    <mergeCell ref="B721:H721"/>
    <mergeCell ref="B722:I722"/>
    <mergeCell ref="B726:H726"/>
    <mergeCell ref="B908:H908"/>
    <mergeCell ref="B909:I909"/>
    <mergeCell ref="B727:I727"/>
    <mergeCell ref="D715:I715"/>
    <mergeCell ref="B716:G716"/>
    <mergeCell ref="B717:G717"/>
  </mergeCells>
  <phoneticPr fontId="13" type="noConversion"/>
  <pageMargins left="0.78740157480314965" right="0.39370078740157483" top="0.6692913385826772" bottom="0.78740157480314965" header="0.31496062992125984" footer="0.31496062992125984"/>
  <pageSetup paperSize="9" scale="58" firstPageNumber="0" orientation="portrait" r:id="rId1"/>
  <headerFooter alignWithMargins="0">
    <oddFooter>&amp;CComposição de Preços Unitários</oddFooter>
  </headerFooter>
  <rowBreaks count="40" manualBreakCount="40">
    <brk id="39" max="9" man="1"/>
    <brk id="68" max="9" man="1"/>
    <brk id="102" max="9" man="1"/>
    <brk id="145" max="9" man="1"/>
    <brk id="175" max="9" man="1"/>
    <brk id="201" max="9" man="1"/>
    <brk id="232" max="9" man="1"/>
    <brk id="258" max="9" man="1"/>
    <brk id="288" max="9" man="1"/>
    <brk id="315" max="9" man="1"/>
    <brk id="341" max="9" man="1"/>
    <brk id="368" max="9" man="1"/>
    <brk id="395" max="9" man="1"/>
    <brk id="424" max="9" man="1"/>
    <brk id="452" max="9" man="1"/>
    <brk id="479" max="9" man="1"/>
    <brk id="516" max="9" man="1"/>
    <brk id="543" max="9" man="1"/>
    <brk id="570" max="9" man="1"/>
    <brk id="597" max="9" man="1"/>
    <brk id="624" max="9" man="1"/>
    <brk id="650" max="9" man="1"/>
    <brk id="683" max="9" man="1"/>
    <brk id="714" max="9" man="1"/>
    <brk id="742" max="9" man="1"/>
    <brk id="770" max="9" man="1"/>
    <brk id="800" max="9" man="1"/>
    <brk id="828" max="9" man="1"/>
    <brk id="855" max="9" man="1"/>
    <brk id="885" max="9" man="1"/>
    <brk id="920" max="9" man="1"/>
    <brk id="946" max="9" man="1"/>
    <brk id="981" max="9" man="1"/>
    <brk id="1008" max="9" man="1"/>
    <brk id="1035" max="9" man="1"/>
    <brk id="1062" max="9" man="1"/>
    <brk id="1091" max="9" man="1"/>
    <brk id="1120" max="9" man="1"/>
    <brk id="1147" max="9" man="1"/>
    <brk id="1188" max="9" man="1"/>
  </rowBreaks>
  <drawing r:id="rId2"/>
</worksheet>
</file>

<file path=xl/worksheets/sheet3.xml><?xml version="1.0" encoding="utf-8"?>
<worksheet xmlns="http://schemas.openxmlformats.org/spreadsheetml/2006/main" xmlns:r="http://schemas.openxmlformats.org/officeDocument/2006/relationships">
  <dimension ref="B1:BW148"/>
  <sheetViews>
    <sheetView view="pageBreakPreview" zoomScale="110" zoomScaleNormal="100" zoomScaleSheetLayoutView="110" workbookViewId="0"/>
  </sheetViews>
  <sheetFormatPr defaultRowHeight="12.75"/>
  <cols>
    <col min="1" max="1" width="1.7109375" style="124" customWidth="1"/>
    <col min="2" max="2" width="40.140625" style="126" customWidth="1"/>
    <col min="3" max="3" width="20.85546875" style="124" customWidth="1"/>
    <col min="4" max="4" width="9.5703125" style="124" customWidth="1"/>
    <col min="5" max="5" width="15" style="130" customWidth="1"/>
    <col min="6" max="6" width="11.5703125" style="123" customWidth="1"/>
    <col min="7" max="7" width="15.42578125" style="567" customWidth="1"/>
    <col min="8" max="8" width="11" style="123" customWidth="1"/>
    <col min="9" max="9" width="9.28515625" style="124" bestFit="1" customWidth="1"/>
    <col min="10" max="10" width="10.140625" style="124" bestFit="1" customWidth="1"/>
    <col min="11" max="11" width="3.140625" style="124" customWidth="1"/>
    <col min="12" max="12" width="18.140625" style="124" customWidth="1"/>
    <col min="13" max="16384" width="9.140625" style="124"/>
  </cols>
  <sheetData>
    <row r="1" spans="2:75" ht="9" customHeight="1" thickBot="1"/>
    <row r="2" spans="2:75" s="141" customFormat="1">
      <c r="B2" s="644"/>
      <c r="C2" s="645"/>
      <c r="D2" s="645"/>
      <c r="E2" s="645"/>
      <c r="F2" s="646"/>
      <c r="I2" s="472"/>
    </row>
    <row r="3" spans="2:75" s="141" customFormat="1">
      <c r="B3" s="647"/>
      <c r="C3" s="648"/>
      <c r="D3" s="648"/>
      <c r="E3" s="648"/>
      <c r="F3" s="649"/>
      <c r="I3" s="472"/>
    </row>
    <row r="4" spans="2:75" s="141" customFormat="1">
      <c r="B4" s="647"/>
      <c r="C4" s="648"/>
      <c r="D4" s="648"/>
      <c r="E4" s="648"/>
      <c r="F4" s="649"/>
      <c r="I4" s="472"/>
    </row>
    <row r="5" spans="2:75" s="141" customFormat="1" ht="18.75" customHeight="1" thickBot="1">
      <c r="B5" s="650"/>
      <c r="C5" s="651"/>
      <c r="D5" s="651"/>
      <c r="E5" s="651"/>
      <c r="F5" s="652"/>
      <c r="I5" s="472"/>
    </row>
    <row r="6" spans="2:75" ht="12.95" customHeight="1">
      <c r="B6" s="837" t="s">
        <v>134</v>
      </c>
      <c r="C6" s="838"/>
      <c r="D6" s="838"/>
      <c r="E6" s="838"/>
      <c r="F6" s="839"/>
      <c r="G6" s="215"/>
      <c r="H6" s="131"/>
    </row>
    <row r="7" spans="2:75" ht="12.75" customHeight="1">
      <c r="B7" s="840" t="s">
        <v>135</v>
      </c>
      <c r="C7" s="841"/>
      <c r="D7" s="842">
        <v>678</v>
      </c>
      <c r="E7" s="843"/>
      <c r="F7" s="844"/>
      <c r="G7" s="215"/>
      <c r="H7" s="131"/>
    </row>
    <row r="8" spans="2:75">
      <c r="B8" s="840" t="s">
        <v>7</v>
      </c>
      <c r="C8" s="841"/>
      <c r="D8" s="845">
        <v>0.25</v>
      </c>
      <c r="E8" s="846"/>
      <c r="F8" s="847"/>
      <c r="G8" s="215"/>
      <c r="H8" s="131"/>
    </row>
    <row r="9" spans="2:75" ht="12.75" customHeight="1">
      <c r="B9" s="835" t="s">
        <v>708</v>
      </c>
      <c r="C9" s="836"/>
      <c r="D9" s="833">
        <v>0.9103</v>
      </c>
      <c r="E9" s="833"/>
      <c r="F9" s="834"/>
      <c r="G9" s="215"/>
      <c r="H9" s="131"/>
    </row>
    <row r="10" spans="2:75" ht="12.75" customHeight="1">
      <c r="B10" s="835" t="s">
        <v>709</v>
      </c>
      <c r="C10" s="836"/>
      <c r="D10" s="833">
        <v>0.50990000000000002</v>
      </c>
      <c r="E10" s="833"/>
      <c r="F10" s="834"/>
      <c r="G10" s="215"/>
      <c r="H10" s="131"/>
    </row>
    <row r="11" spans="2:75" ht="21.75" customHeight="1">
      <c r="B11" s="827" t="s">
        <v>707</v>
      </c>
      <c r="C11" s="828"/>
      <c r="D11" s="828"/>
      <c r="E11" s="828"/>
      <c r="F11" s="829"/>
      <c r="G11" s="127"/>
      <c r="H11" s="131"/>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c r="AW11" s="128"/>
      <c r="AX11" s="128"/>
      <c r="AY11" s="128"/>
      <c r="AZ11" s="128"/>
      <c r="BA11" s="128"/>
      <c r="BB11" s="128"/>
      <c r="BC11" s="128"/>
      <c r="BD11" s="128"/>
      <c r="BE11" s="128"/>
      <c r="BF11" s="128"/>
      <c r="BG11" s="128"/>
      <c r="BH11" s="128"/>
      <c r="BI11" s="128"/>
      <c r="BJ11" s="128"/>
      <c r="BK11" s="128"/>
      <c r="BL11" s="128"/>
      <c r="BM11" s="128"/>
      <c r="BN11" s="128"/>
      <c r="BO11" s="128"/>
      <c r="BP11" s="128"/>
      <c r="BQ11" s="128"/>
      <c r="BR11" s="128"/>
      <c r="BS11" s="128"/>
      <c r="BT11" s="128"/>
      <c r="BU11" s="128"/>
      <c r="BV11" s="128"/>
      <c r="BW11" s="128"/>
    </row>
    <row r="12" spans="2:75" ht="24" customHeight="1" thickBot="1">
      <c r="B12" s="830"/>
      <c r="C12" s="831"/>
      <c r="D12" s="831"/>
      <c r="E12" s="831"/>
      <c r="F12" s="832"/>
      <c r="G12" s="127"/>
      <c r="H12" s="131"/>
    </row>
    <row r="13" spans="2:75" s="454" customFormat="1">
      <c r="B13" s="824" t="s">
        <v>136</v>
      </c>
      <c r="C13" s="825"/>
      <c r="D13" s="825"/>
      <c r="E13" s="825"/>
      <c r="F13" s="826"/>
      <c r="G13" s="488"/>
      <c r="H13" s="489"/>
      <c r="I13" s="134"/>
      <c r="J13" s="134"/>
    </row>
    <row r="14" spans="2:75" s="454" customFormat="1">
      <c r="B14" s="430" t="s">
        <v>137</v>
      </c>
      <c r="C14" s="216" t="s">
        <v>54</v>
      </c>
      <c r="D14" s="576">
        <v>18.989999999999998</v>
      </c>
      <c r="E14" s="217">
        <v>4083</v>
      </c>
      <c r="F14" s="611" t="s">
        <v>121</v>
      </c>
      <c r="G14" s="125"/>
      <c r="H14" s="490"/>
      <c r="I14" s="134"/>
      <c r="J14" s="134"/>
    </row>
    <row r="15" spans="2:75" s="454" customFormat="1">
      <c r="B15" s="231" t="s">
        <v>137</v>
      </c>
      <c r="C15" s="216" t="s">
        <v>54</v>
      </c>
      <c r="D15" s="576">
        <v>18.989999999999998</v>
      </c>
      <c r="E15" s="219">
        <v>4083</v>
      </c>
      <c r="F15" s="611" t="s">
        <v>121</v>
      </c>
      <c r="G15" s="125"/>
      <c r="H15" s="489"/>
      <c r="I15" s="134"/>
      <c r="J15" s="134"/>
    </row>
    <row r="16" spans="2:75" s="454" customFormat="1">
      <c r="B16" s="223" t="s">
        <v>104</v>
      </c>
      <c r="C16" s="220" t="s">
        <v>54</v>
      </c>
      <c r="D16" s="577">
        <v>8.69</v>
      </c>
      <c r="E16" s="221" t="s">
        <v>142</v>
      </c>
      <c r="F16" s="611" t="s">
        <v>121</v>
      </c>
      <c r="G16" s="568"/>
      <c r="H16" s="489"/>
    </row>
    <row r="17" spans="2:8" s="454" customFormat="1">
      <c r="B17" s="223" t="s">
        <v>114</v>
      </c>
      <c r="C17" s="220" t="s">
        <v>54</v>
      </c>
      <c r="D17" s="577">
        <v>8.69</v>
      </c>
      <c r="E17" s="221" t="s">
        <v>143</v>
      </c>
      <c r="F17" s="611" t="s">
        <v>121</v>
      </c>
      <c r="G17" s="568"/>
      <c r="H17" s="489"/>
    </row>
    <row r="18" spans="2:8" s="454" customFormat="1">
      <c r="B18" s="223" t="s">
        <v>411</v>
      </c>
      <c r="C18" s="220" t="s">
        <v>54</v>
      </c>
      <c r="D18" s="577">
        <v>11.41</v>
      </c>
      <c r="E18" s="221">
        <v>2701</v>
      </c>
      <c r="F18" s="611" t="s">
        <v>121</v>
      </c>
      <c r="G18" s="568"/>
      <c r="H18" s="489"/>
    </row>
    <row r="19" spans="2:8" s="454" customFormat="1">
      <c r="B19" s="223" t="s">
        <v>441</v>
      </c>
      <c r="C19" s="220" t="s">
        <v>54</v>
      </c>
      <c r="D19" s="577">
        <v>8.69</v>
      </c>
      <c r="E19" s="221">
        <v>378</v>
      </c>
      <c r="F19" s="611" t="s">
        <v>121</v>
      </c>
      <c r="G19" s="568"/>
      <c r="H19" s="489"/>
    </row>
    <row r="20" spans="2:8" s="454" customFormat="1">
      <c r="B20" s="223" t="s">
        <v>75</v>
      </c>
      <c r="C20" s="220" t="s">
        <v>54</v>
      </c>
      <c r="D20" s="578">
        <v>8.69</v>
      </c>
      <c r="E20" s="221" t="s">
        <v>182</v>
      </c>
      <c r="F20" s="612" t="str">
        <f>F17</f>
        <v>SINAPI</v>
      </c>
      <c r="G20" s="568"/>
      <c r="H20" s="489"/>
    </row>
    <row r="21" spans="2:8" s="454" customFormat="1">
      <c r="B21" s="223" t="s">
        <v>184</v>
      </c>
      <c r="C21" s="220" t="s">
        <v>54</v>
      </c>
      <c r="D21" s="578">
        <v>8.69</v>
      </c>
      <c r="E21" s="221">
        <v>2696</v>
      </c>
      <c r="F21" s="612" t="str">
        <f>F18</f>
        <v>SINAPI</v>
      </c>
      <c r="G21" s="568"/>
      <c r="H21" s="489"/>
    </row>
    <row r="22" spans="2:8" s="454" customFormat="1">
      <c r="B22" s="223" t="s">
        <v>493</v>
      </c>
      <c r="C22" s="220" t="s">
        <v>54</v>
      </c>
      <c r="D22" s="578">
        <v>8.69</v>
      </c>
      <c r="E22" s="221">
        <v>6160</v>
      </c>
      <c r="F22" s="612" t="str">
        <f>F19</f>
        <v>SINAPI</v>
      </c>
      <c r="G22" s="568"/>
      <c r="H22" s="489"/>
    </row>
    <row r="23" spans="2:8" s="454" customFormat="1">
      <c r="B23" s="223" t="s">
        <v>395</v>
      </c>
      <c r="C23" s="220" t="s">
        <v>54</v>
      </c>
      <c r="D23" s="578">
        <v>15.96</v>
      </c>
      <c r="E23" s="221">
        <v>4230</v>
      </c>
      <c r="F23" s="612" t="str">
        <f>F20</f>
        <v>SINAPI</v>
      </c>
      <c r="G23" s="569"/>
      <c r="H23" s="489"/>
    </row>
    <row r="24" spans="2:8" s="454" customFormat="1">
      <c r="B24" s="431" t="s">
        <v>76</v>
      </c>
      <c r="C24" s="222" t="s">
        <v>54</v>
      </c>
      <c r="D24" s="577">
        <v>6.53</v>
      </c>
      <c r="E24" s="221" t="s">
        <v>146</v>
      </c>
      <c r="F24" s="611" t="s">
        <v>121</v>
      </c>
      <c r="G24" s="568"/>
      <c r="H24" s="489"/>
    </row>
    <row r="25" spans="2:8" s="454" customFormat="1">
      <c r="B25" s="431" t="s">
        <v>115</v>
      </c>
      <c r="C25" s="222" t="s">
        <v>54</v>
      </c>
      <c r="D25" s="577">
        <v>6.53</v>
      </c>
      <c r="E25" s="221">
        <v>6115</v>
      </c>
      <c r="F25" s="611" t="s">
        <v>121</v>
      </c>
      <c r="G25" s="568"/>
      <c r="H25" s="489"/>
    </row>
    <row r="26" spans="2:8" s="454" customFormat="1">
      <c r="B26" s="431" t="s">
        <v>483</v>
      </c>
      <c r="C26" s="222" t="s">
        <v>54</v>
      </c>
      <c r="D26" s="577">
        <v>7.15</v>
      </c>
      <c r="E26" s="221">
        <v>6113</v>
      </c>
      <c r="F26" s="611" t="s">
        <v>121</v>
      </c>
      <c r="G26" s="568"/>
      <c r="H26" s="489"/>
    </row>
    <row r="27" spans="2:8" s="454" customFormat="1">
      <c r="B27" s="431" t="s">
        <v>179</v>
      </c>
      <c r="C27" s="222" t="s">
        <v>54</v>
      </c>
      <c r="D27" s="577">
        <v>7.21</v>
      </c>
      <c r="E27" s="221">
        <v>6116</v>
      </c>
      <c r="F27" s="611" t="s">
        <v>121</v>
      </c>
      <c r="G27" s="568"/>
      <c r="H27" s="489"/>
    </row>
    <row r="28" spans="2:8" s="454" customFormat="1">
      <c r="B28" s="431" t="s">
        <v>412</v>
      </c>
      <c r="C28" s="222" t="s">
        <v>54</v>
      </c>
      <c r="D28" s="577">
        <v>7.08</v>
      </c>
      <c r="E28" s="221">
        <v>6114</v>
      </c>
      <c r="F28" s="611" t="s">
        <v>121</v>
      </c>
      <c r="G28" s="568"/>
      <c r="H28" s="489"/>
    </row>
    <row r="29" spans="2:8" s="454" customFormat="1">
      <c r="B29" s="431" t="s">
        <v>388</v>
      </c>
      <c r="C29" s="222" t="s">
        <v>54</v>
      </c>
      <c r="D29" s="577">
        <v>7.08</v>
      </c>
      <c r="E29" s="221">
        <v>6117</v>
      </c>
      <c r="F29" s="611" t="s">
        <v>121</v>
      </c>
      <c r="G29" s="568"/>
      <c r="H29" s="489"/>
    </row>
    <row r="30" spans="2:8" s="454" customFormat="1">
      <c r="B30" s="431" t="s">
        <v>475</v>
      </c>
      <c r="C30" s="222" t="s">
        <v>54</v>
      </c>
      <c r="D30" s="577">
        <v>8.69</v>
      </c>
      <c r="E30" s="221">
        <v>2436</v>
      </c>
      <c r="F30" s="611" t="s">
        <v>121</v>
      </c>
      <c r="G30" s="568"/>
      <c r="H30" s="489"/>
    </row>
    <row r="31" spans="2:8" s="454" customFormat="1">
      <c r="B31" s="223" t="s">
        <v>111</v>
      </c>
      <c r="C31" s="220" t="s">
        <v>54</v>
      </c>
      <c r="D31" s="577">
        <v>12.91</v>
      </c>
      <c r="E31" s="221" t="s">
        <v>147</v>
      </c>
      <c r="F31" s="611" t="s">
        <v>121</v>
      </c>
      <c r="G31" s="568"/>
      <c r="H31" s="489"/>
    </row>
    <row r="32" spans="2:8" s="454" customFormat="1">
      <c r="B32" s="223" t="s">
        <v>112</v>
      </c>
      <c r="C32" s="220" t="s">
        <v>54</v>
      </c>
      <c r="D32" s="577">
        <v>4.3099999999999996</v>
      </c>
      <c r="E32" s="221">
        <v>244</v>
      </c>
      <c r="F32" s="611" t="s">
        <v>121</v>
      </c>
      <c r="G32" s="568"/>
      <c r="H32" s="489"/>
    </row>
    <row r="33" spans="2:10" s="454" customFormat="1">
      <c r="B33" s="223" t="s">
        <v>148</v>
      </c>
      <c r="C33" s="220" t="s">
        <v>54</v>
      </c>
      <c r="D33" s="577">
        <v>8.74</v>
      </c>
      <c r="E33" s="221" t="s">
        <v>149</v>
      </c>
      <c r="F33" s="611" t="s">
        <v>121</v>
      </c>
      <c r="G33" s="568"/>
      <c r="H33" s="489"/>
    </row>
    <row r="34" spans="2:10" s="454" customFormat="1">
      <c r="B34" s="231" t="s">
        <v>150</v>
      </c>
      <c r="C34" s="218" t="s">
        <v>54</v>
      </c>
      <c r="D34" s="576">
        <v>14.28</v>
      </c>
      <c r="E34" s="219">
        <v>7153</v>
      </c>
      <c r="F34" s="611" t="s">
        <v>121</v>
      </c>
      <c r="G34" s="125"/>
      <c r="H34" s="489"/>
    </row>
    <row r="35" spans="2:10" s="454" customFormat="1" ht="25.5">
      <c r="B35" s="231" t="s">
        <v>151</v>
      </c>
      <c r="C35" s="218" t="s">
        <v>54</v>
      </c>
      <c r="D35" s="576">
        <v>89.35</v>
      </c>
      <c r="E35" s="219">
        <v>2707</v>
      </c>
      <c r="F35" s="611" t="s">
        <v>121</v>
      </c>
      <c r="G35" s="125"/>
      <c r="H35" s="489"/>
    </row>
    <row r="36" spans="2:10" s="454" customFormat="1" ht="25.5">
      <c r="B36" s="231" t="s">
        <v>152</v>
      </c>
      <c r="C36" s="218" t="s">
        <v>54</v>
      </c>
      <c r="D36" s="576">
        <v>48.58</v>
      </c>
      <c r="E36" s="219">
        <v>2706</v>
      </c>
      <c r="F36" s="611" t="s">
        <v>121</v>
      </c>
      <c r="G36" s="125"/>
      <c r="H36" s="489"/>
    </row>
    <row r="37" spans="2:10" s="454" customFormat="1">
      <c r="B37" s="821" t="s">
        <v>138</v>
      </c>
      <c r="C37" s="822"/>
      <c r="D37" s="822"/>
      <c r="E37" s="822"/>
      <c r="F37" s="823"/>
      <c r="G37" s="172"/>
      <c r="H37" s="489"/>
      <c r="I37" s="134"/>
      <c r="J37" s="134"/>
    </row>
    <row r="38" spans="2:10" s="454" customFormat="1">
      <c r="B38" s="231" t="s">
        <v>102</v>
      </c>
      <c r="C38" s="216" t="s">
        <v>116</v>
      </c>
      <c r="D38" s="576">
        <v>0.5</v>
      </c>
      <c r="E38" s="219">
        <v>1379</v>
      </c>
      <c r="F38" s="611" t="s">
        <v>121</v>
      </c>
      <c r="G38" s="125"/>
      <c r="H38" s="489"/>
      <c r="I38" s="134"/>
      <c r="J38" s="134"/>
    </row>
    <row r="39" spans="2:10" s="454" customFormat="1" ht="17.850000000000001" customHeight="1">
      <c r="B39" s="223" t="s">
        <v>139</v>
      </c>
      <c r="C39" s="220" t="s">
        <v>87</v>
      </c>
      <c r="D39" s="577">
        <v>70</v>
      </c>
      <c r="E39" s="221">
        <v>367</v>
      </c>
      <c r="F39" s="611" t="s">
        <v>121</v>
      </c>
      <c r="G39" s="568"/>
      <c r="H39" s="489"/>
      <c r="I39" s="134"/>
      <c r="J39" s="134"/>
    </row>
    <row r="40" spans="2:10" s="454" customFormat="1" ht="17.850000000000001" customHeight="1">
      <c r="B40" s="431" t="s">
        <v>86</v>
      </c>
      <c r="C40" s="222" t="s">
        <v>87</v>
      </c>
      <c r="D40" s="577">
        <v>67.5</v>
      </c>
      <c r="E40" s="221">
        <v>366</v>
      </c>
      <c r="F40" s="611" t="s">
        <v>121</v>
      </c>
      <c r="G40" s="568"/>
      <c r="H40" s="489"/>
      <c r="I40" s="134"/>
      <c r="J40" s="134"/>
    </row>
    <row r="41" spans="2:10" s="454" customFormat="1" ht="17.100000000000001" customHeight="1">
      <c r="B41" s="431" t="s">
        <v>140</v>
      </c>
      <c r="C41" s="222" t="s">
        <v>87</v>
      </c>
      <c r="D41" s="577">
        <v>36</v>
      </c>
      <c r="E41" s="221">
        <v>368</v>
      </c>
      <c r="F41" s="611" t="s">
        <v>121</v>
      </c>
      <c r="G41" s="568"/>
      <c r="H41" s="489"/>
      <c r="I41" s="134"/>
      <c r="J41" s="134"/>
    </row>
    <row r="42" spans="2:10" s="454" customFormat="1" ht="17.100000000000001" customHeight="1">
      <c r="B42" s="431" t="s">
        <v>382</v>
      </c>
      <c r="C42" s="222" t="s">
        <v>87</v>
      </c>
      <c r="D42" s="577">
        <v>67.5</v>
      </c>
      <c r="E42" s="221">
        <v>366</v>
      </c>
      <c r="F42" s="611" t="str">
        <f>F44</f>
        <v>SINAPI</v>
      </c>
      <c r="G42" s="568"/>
      <c r="H42" s="489"/>
      <c r="I42" s="134"/>
      <c r="J42" s="134"/>
    </row>
    <row r="43" spans="2:10" s="454" customFormat="1" ht="17.100000000000001" customHeight="1">
      <c r="B43" s="431" t="s">
        <v>332</v>
      </c>
      <c r="C43" s="222" t="s">
        <v>87</v>
      </c>
      <c r="D43" s="577">
        <v>70</v>
      </c>
      <c r="E43" s="221">
        <v>370</v>
      </c>
      <c r="F43" s="611" t="str">
        <f>F44</f>
        <v>SINAPI</v>
      </c>
      <c r="G43" s="568"/>
      <c r="H43" s="489"/>
      <c r="I43" s="134"/>
      <c r="J43" s="134"/>
    </row>
    <row r="44" spans="2:10" s="454" customFormat="1" ht="17.100000000000001" customHeight="1">
      <c r="B44" s="223" t="s">
        <v>330</v>
      </c>
      <c r="C44" s="220" t="s">
        <v>74</v>
      </c>
      <c r="D44" s="577">
        <v>0.45</v>
      </c>
      <c r="E44" s="269" t="s">
        <v>331</v>
      </c>
      <c r="F44" s="611" t="s">
        <v>121</v>
      </c>
      <c r="G44" s="568"/>
      <c r="H44" s="489"/>
    </row>
    <row r="45" spans="2:10" s="454" customFormat="1" ht="25.5">
      <c r="B45" s="223" t="s">
        <v>373</v>
      </c>
      <c r="C45" s="220" t="s">
        <v>131</v>
      </c>
      <c r="D45" s="577">
        <v>0.54</v>
      </c>
      <c r="E45" s="221">
        <v>7268</v>
      </c>
      <c r="F45" s="611" t="s">
        <v>121</v>
      </c>
      <c r="G45" s="568"/>
      <c r="H45" s="489"/>
    </row>
    <row r="46" spans="2:10" s="454" customFormat="1" ht="25.5">
      <c r="B46" s="350" t="s">
        <v>187</v>
      </c>
      <c r="C46" s="427" t="s">
        <v>71</v>
      </c>
      <c r="D46" s="579">
        <v>4.62</v>
      </c>
      <c r="E46" s="221">
        <v>6212</v>
      </c>
      <c r="F46" s="611" t="s">
        <v>121</v>
      </c>
      <c r="G46" s="134"/>
      <c r="H46" s="489"/>
    </row>
    <row r="47" spans="2:10" s="454" customFormat="1">
      <c r="B47" s="350" t="s">
        <v>514</v>
      </c>
      <c r="C47" s="427" t="s">
        <v>131</v>
      </c>
      <c r="D47" s="579">
        <v>25.08</v>
      </c>
      <c r="E47" s="221">
        <v>1649</v>
      </c>
      <c r="F47" s="611" t="s">
        <v>121</v>
      </c>
      <c r="G47" s="134"/>
      <c r="H47" s="489"/>
    </row>
    <row r="48" spans="2:10" s="454" customFormat="1" ht="25.5">
      <c r="B48" s="350" t="s">
        <v>515</v>
      </c>
      <c r="C48" s="427" t="s">
        <v>131</v>
      </c>
      <c r="D48" s="579">
        <v>5.13</v>
      </c>
      <c r="E48" s="221">
        <v>4334</v>
      </c>
      <c r="F48" s="611" t="s">
        <v>121</v>
      </c>
      <c r="G48" s="134"/>
      <c r="H48" s="489"/>
    </row>
    <row r="49" spans="2:16" s="454" customFormat="1" ht="25.5">
      <c r="B49" s="350" t="s">
        <v>516</v>
      </c>
      <c r="C49" s="427" t="s">
        <v>131</v>
      </c>
      <c r="D49" s="579">
        <v>1.52</v>
      </c>
      <c r="E49" s="221">
        <v>4343</v>
      </c>
      <c r="F49" s="611" t="s">
        <v>121</v>
      </c>
      <c r="G49" s="134"/>
      <c r="H49" s="489"/>
    </row>
    <row r="50" spans="2:16" s="454" customFormat="1" ht="25.5">
      <c r="B50" s="350" t="s">
        <v>517</v>
      </c>
      <c r="C50" s="427" t="s">
        <v>131</v>
      </c>
      <c r="D50" s="579">
        <v>255.06</v>
      </c>
      <c r="E50" s="221">
        <v>5054</v>
      </c>
      <c r="F50" s="611" t="s">
        <v>121</v>
      </c>
      <c r="G50" s="134"/>
      <c r="H50" s="489"/>
    </row>
    <row r="51" spans="2:16" s="454" customFormat="1" ht="25.5">
      <c r="B51" s="350" t="s">
        <v>513</v>
      </c>
      <c r="C51" s="427" t="s">
        <v>54</v>
      </c>
      <c r="D51" s="579">
        <v>176.79</v>
      </c>
      <c r="E51" s="221">
        <v>3357</v>
      </c>
      <c r="F51" s="611" t="s">
        <v>121</v>
      </c>
      <c r="G51" s="134"/>
      <c r="H51" s="489"/>
    </row>
    <row r="52" spans="2:16" s="454" customFormat="1" ht="41.1" customHeight="1">
      <c r="B52" s="223" t="s">
        <v>141</v>
      </c>
      <c r="C52" s="220" t="s">
        <v>54</v>
      </c>
      <c r="D52" s="577">
        <v>60.3</v>
      </c>
      <c r="E52" s="221">
        <v>1133</v>
      </c>
      <c r="F52" s="611" t="s">
        <v>121</v>
      </c>
      <c r="G52" s="568"/>
      <c r="H52" s="489"/>
      <c r="L52" s="820"/>
      <c r="M52" s="820"/>
      <c r="N52" s="820"/>
      <c r="O52" s="820"/>
      <c r="P52" s="820"/>
    </row>
    <row r="53" spans="2:16" s="454" customFormat="1" ht="26.85" customHeight="1">
      <c r="B53" s="223" t="s">
        <v>579</v>
      </c>
      <c r="C53" s="220" t="s">
        <v>71</v>
      </c>
      <c r="D53" s="577">
        <v>16.760000000000002</v>
      </c>
      <c r="E53" s="221" t="s">
        <v>144</v>
      </c>
      <c r="F53" s="611" t="s">
        <v>121</v>
      </c>
      <c r="G53" s="568"/>
      <c r="H53" s="489"/>
    </row>
    <row r="54" spans="2:16" s="454" customFormat="1" ht="18.600000000000001" customHeight="1">
      <c r="B54" s="431" t="s">
        <v>73</v>
      </c>
      <c r="C54" s="222" t="s">
        <v>116</v>
      </c>
      <c r="D54" s="577">
        <v>6.51</v>
      </c>
      <c r="E54" s="221" t="s">
        <v>145</v>
      </c>
      <c r="F54" s="611" t="s">
        <v>121</v>
      </c>
      <c r="G54" s="568"/>
      <c r="H54" s="489"/>
    </row>
    <row r="55" spans="2:16" s="454" customFormat="1" ht="18.600000000000001" customHeight="1">
      <c r="B55" s="223" t="s">
        <v>177</v>
      </c>
      <c r="C55" s="220" t="s">
        <v>74</v>
      </c>
      <c r="D55" s="578">
        <v>7</v>
      </c>
      <c r="E55" s="221">
        <v>5061</v>
      </c>
      <c r="F55" s="611" t="s">
        <v>121</v>
      </c>
      <c r="G55" s="569"/>
      <c r="H55" s="489"/>
    </row>
    <row r="56" spans="2:16" s="454" customFormat="1" ht="14.25" customHeight="1">
      <c r="B56" s="431" t="s">
        <v>81</v>
      </c>
      <c r="C56" s="222" t="s">
        <v>131</v>
      </c>
      <c r="D56" s="577">
        <v>16.510000000000002</v>
      </c>
      <c r="E56" s="221">
        <v>1355</v>
      </c>
      <c r="F56" s="611" t="s">
        <v>121</v>
      </c>
      <c r="G56" s="568"/>
      <c r="H56" s="489"/>
    </row>
    <row r="57" spans="2:16" s="454" customFormat="1" ht="14.25" customHeight="1">
      <c r="B57" s="231" t="s">
        <v>153</v>
      </c>
      <c r="C57" s="216" t="s">
        <v>71</v>
      </c>
      <c r="D57" s="576">
        <v>4.8899999999999997</v>
      </c>
      <c r="E57" s="217">
        <v>4460</v>
      </c>
      <c r="F57" s="611" t="s">
        <v>121</v>
      </c>
      <c r="G57" s="125"/>
      <c r="H57" s="489"/>
    </row>
    <row r="58" spans="2:16" s="454" customFormat="1" ht="14.25" customHeight="1">
      <c r="B58" s="431" t="s">
        <v>84</v>
      </c>
      <c r="C58" s="222" t="s">
        <v>131</v>
      </c>
      <c r="D58" s="577">
        <v>4.9800000000000004</v>
      </c>
      <c r="E58" s="221" t="s">
        <v>154</v>
      </c>
      <c r="F58" s="611" t="s">
        <v>121</v>
      </c>
      <c r="G58" s="568"/>
      <c r="H58" s="489"/>
    </row>
    <row r="59" spans="2:16" s="454" customFormat="1" ht="14.25" customHeight="1">
      <c r="B59" s="431" t="s">
        <v>85</v>
      </c>
      <c r="C59" s="222" t="s">
        <v>59</v>
      </c>
      <c r="D59" s="577">
        <v>10.49</v>
      </c>
      <c r="E59" s="221" t="s">
        <v>155</v>
      </c>
      <c r="F59" s="611" t="s">
        <v>121</v>
      </c>
      <c r="G59" s="568"/>
      <c r="H59" s="489"/>
      <c r="I59" s="134"/>
    </row>
    <row r="60" spans="2:16" s="454" customFormat="1" ht="14.25" customHeight="1">
      <c r="B60" s="231" t="s">
        <v>103</v>
      </c>
      <c r="C60" s="218" t="s">
        <v>87</v>
      </c>
      <c r="D60" s="576">
        <v>65.8</v>
      </c>
      <c r="E60" s="219">
        <v>4718</v>
      </c>
      <c r="F60" s="224" t="str">
        <f>F58</f>
        <v>SINAPI</v>
      </c>
      <c r="G60" s="125"/>
      <c r="H60" s="489"/>
      <c r="I60" s="134"/>
    </row>
    <row r="61" spans="2:16" s="454" customFormat="1" ht="14.25" customHeight="1">
      <c r="B61" s="231" t="s">
        <v>88</v>
      </c>
      <c r="C61" s="218" t="s">
        <v>87</v>
      </c>
      <c r="D61" s="576">
        <v>68.13</v>
      </c>
      <c r="E61" s="219">
        <v>4721</v>
      </c>
      <c r="F61" s="224" t="str">
        <f>F59</f>
        <v>SINAPI</v>
      </c>
      <c r="G61" s="125"/>
      <c r="H61" s="489"/>
      <c r="I61" s="134"/>
    </row>
    <row r="62" spans="2:16" s="454" customFormat="1" ht="25.5">
      <c r="B62" s="231" t="s">
        <v>528</v>
      </c>
      <c r="C62" s="218" t="s">
        <v>80</v>
      </c>
      <c r="D62" s="576">
        <v>27.86</v>
      </c>
      <c r="E62" s="219">
        <v>3743</v>
      </c>
      <c r="F62" s="224" t="str">
        <f>F60</f>
        <v>SINAPI</v>
      </c>
      <c r="G62" s="125"/>
      <c r="H62" s="489"/>
      <c r="I62" s="134"/>
    </row>
    <row r="63" spans="2:16" s="454" customFormat="1" ht="25.5" customHeight="1">
      <c r="B63" s="231" t="s">
        <v>156</v>
      </c>
      <c r="C63" s="218" t="s">
        <v>59</v>
      </c>
      <c r="D63" s="576">
        <v>60</v>
      </c>
      <c r="E63" s="219">
        <v>6253</v>
      </c>
      <c r="F63" s="224" t="str">
        <f>F61</f>
        <v>SINAPI</v>
      </c>
      <c r="G63" s="125"/>
      <c r="H63" s="489"/>
    </row>
    <row r="64" spans="2:16" s="454" customFormat="1" ht="14.25" customHeight="1">
      <c r="B64" s="231" t="s">
        <v>157</v>
      </c>
      <c r="C64" s="218" t="str">
        <f>C63</f>
        <v>unid.</v>
      </c>
      <c r="D64" s="576">
        <v>7.3</v>
      </c>
      <c r="E64" s="219">
        <v>11822</v>
      </c>
      <c r="F64" s="224" t="str">
        <f>F62</f>
        <v>SINAPI</v>
      </c>
      <c r="G64" s="125"/>
      <c r="H64" s="489"/>
    </row>
    <row r="65" spans="2:8" s="454" customFormat="1" ht="14.25" customHeight="1">
      <c r="B65" s="431" t="s">
        <v>91</v>
      </c>
      <c r="C65" s="222" t="str">
        <f>C59</f>
        <v>unid.</v>
      </c>
      <c r="D65" s="577">
        <v>199</v>
      </c>
      <c r="E65" s="221" t="s">
        <v>158</v>
      </c>
      <c r="F65" s="611" t="s">
        <v>121</v>
      </c>
      <c r="G65" s="568"/>
      <c r="H65" s="489"/>
    </row>
    <row r="66" spans="2:8" s="454" customFormat="1" ht="16.5" customHeight="1">
      <c r="B66" s="431" t="s">
        <v>93</v>
      </c>
      <c r="C66" s="222" t="s">
        <v>131</v>
      </c>
      <c r="D66" s="577">
        <v>7.55</v>
      </c>
      <c r="E66" s="221" t="s">
        <v>159</v>
      </c>
      <c r="F66" s="611" t="s">
        <v>121</v>
      </c>
      <c r="G66" s="568"/>
      <c r="H66" s="489"/>
    </row>
    <row r="67" spans="2:8" s="454" customFormat="1" ht="16.5" customHeight="1">
      <c r="B67" s="431" t="s">
        <v>94</v>
      </c>
      <c r="C67" s="222" t="s">
        <v>131</v>
      </c>
      <c r="D67" s="577">
        <v>5.42</v>
      </c>
      <c r="E67" s="221" t="s">
        <v>160</v>
      </c>
      <c r="F67" s="611" t="s">
        <v>121</v>
      </c>
      <c r="G67" s="568"/>
      <c r="H67" s="489"/>
    </row>
    <row r="68" spans="2:8" s="454" customFormat="1" ht="25.35" customHeight="1">
      <c r="B68" s="223" t="s">
        <v>161</v>
      </c>
      <c r="C68" s="220" t="s">
        <v>59</v>
      </c>
      <c r="D68" s="577">
        <v>6.8</v>
      </c>
      <c r="E68" s="221" t="s">
        <v>162</v>
      </c>
      <c r="F68" s="611" t="s">
        <v>121</v>
      </c>
      <c r="G68" s="568"/>
      <c r="H68" s="489"/>
    </row>
    <row r="69" spans="2:8" s="454" customFormat="1" ht="17.850000000000001" customHeight="1">
      <c r="B69" s="431" t="s">
        <v>96</v>
      </c>
      <c r="C69" s="220" t="s">
        <v>59</v>
      </c>
      <c r="D69" s="577">
        <v>6.39</v>
      </c>
      <c r="E69" s="221" t="s">
        <v>163</v>
      </c>
      <c r="F69" s="611" t="s">
        <v>121</v>
      </c>
      <c r="G69" s="568"/>
      <c r="H69" s="489"/>
    </row>
    <row r="70" spans="2:8" s="454" customFormat="1" ht="18" customHeight="1">
      <c r="B70" s="431" t="s">
        <v>97</v>
      </c>
      <c r="C70" s="220" t="s">
        <v>59</v>
      </c>
      <c r="D70" s="577">
        <v>2.9</v>
      </c>
      <c r="E70" s="269" t="s">
        <v>164</v>
      </c>
      <c r="F70" s="611" t="s">
        <v>121</v>
      </c>
      <c r="G70" s="568"/>
      <c r="H70" s="489"/>
    </row>
    <row r="71" spans="2:8" s="454" customFormat="1" ht="17.25" customHeight="1">
      <c r="B71" s="431" t="s">
        <v>98</v>
      </c>
      <c r="C71" s="220" t="s">
        <v>59</v>
      </c>
      <c r="D71" s="577">
        <v>1.02</v>
      </c>
      <c r="E71" s="221" t="s">
        <v>165</v>
      </c>
      <c r="F71" s="611" t="s">
        <v>121</v>
      </c>
      <c r="G71" s="568"/>
      <c r="H71" s="489"/>
    </row>
    <row r="72" spans="2:8" s="454" customFormat="1">
      <c r="B72" s="431" t="s">
        <v>99</v>
      </c>
      <c r="C72" s="222" t="s">
        <v>92</v>
      </c>
      <c r="D72" s="577">
        <v>12.9</v>
      </c>
      <c r="E72" s="221" t="s">
        <v>166</v>
      </c>
      <c r="F72" s="611" t="s">
        <v>121</v>
      </c>
      <c r="G72" s="568"/>
      <c r="H72" s="489"/>
    </row>
    <row r="73" spans="2:8" s="454" customFormat="1" ht="25.5" customHeight="1">
      <c r="B73" s="431" t="s">
        <v>425</v>
      </c>
      <c r="C73" s="222" t="s">
        <v>92</v>
      </c>
      <c r="D73" s="577">
        <v>10.29</v>
      </c>
      <c r="E73" s="221">
        <v>5318</v>
      </c>
      <c r="F73" s="611" t="s">
        <v>121</v>
      </c>
      <c r="G73" s="568"/>
      <c r="H73" s="489"/>
    </row>
    <row r="74" spans="2:8" s="454" customFormat="1" ht="25.5" customHeight="1">
      <c r="B74" s="431" t="s">
        <v>452</v>
      </c>
      <c r="C74" s="222" t="s">
        <v>449</v>
      </c>
      <c r="D74" s="577">
        <v>48.94</v>
      </c>
      <c r="E74" s="221">
        <v>142</v>
      </c>
      <c r="F74" s="611" t="s">
        <v>121</v>
      </c>
      <c r="G74" s="568"/>
      <c r="H74" s="489"/>
    </row>
    <row r="75" spans="2:8" s="454" customFormat="1" ht="25.5" customHeight="1">
      <c r="B75" s="431" t="s">
        <v>428</v>
      </c>
      <c r="C75" s="222" t="s">
        <v>426</v>
      </c>
      <c r="D75" s="577">
        <v>69.7</v>
      </c>
      <c r="E75" s="221">
        <v>7308</v>
      </c>
      <c r="F75" s="611" t="s">
        <v>121</v>
      </c>
      <c r="G75" s="568"/>
      <c r="H75" s="489"/>
    </row>
    <row r="76" spans="2:8" s="454" customFormat="1">
      <c r="B76" s="431" t="s">
        <v>427</v>
      </c>
      <c r="C76" s="222" t="s">
        <v>426</v>
      </c>
      <c r="D76" s="577">
        <v>74.709999999999994</v>
      </c>
      <c r="E76" s="221">
        <v>7294</v>
      </c>
      <c r="F76" s="611" t="s">
        <v>121</v>
      </c>
      <c r="G76" s="568"/>
      <c r="H76" s="489"/>
    </row>
    <row r="77" spans="2:8" s="454" customFormat="1">
      <c r="B77" s="431" t="s">
        <v>397</v>
      </c>
      <c r="C77" s="222" t="s">
        <v>92</v>
      </c>
      <c r="D77" s="577">
        <v>16</v>
      </c>
      <c r="E77" s="221">
        <v>7356</v>
      </c>
      <c r="F77" s="611" t="s">
        <v>121</v>
      </c>
      <c r="G77" s="568"/>
      <c r="H77" s="489"/>
    </row>
    <row r="78" spans="2:8" s="454" customFormat="1">
      <c r="B78" s="431" t="s">
        <v>397</v>
      </c>
      <c r="C78" s="222" t="s">
        <v>426</v>
      </c>
      <c r="D78" s="577">
        <v>59.66</v>
      </c>
      <c r="E78" s="221">
        <v>7355</v>
      </c>
      <c r="F78" s="611" t="s">
        <v>121</v>
      </c>
      <c r="G78" s="568"/>
      <c r="H78" s="489"/>
    </row>
    <row r="79" spans="2:8" s="454" customFormat="1">
      <c r="B79" s="431" t="s">
        <v>400</v>
      </c>
      <c r="C79" s="222" t="s">
        <v>92</v>
      </c>
      <c r="D79" s="577">
        <v>11.17</v>
      </c>
      <c r="E79" s="221">
        <v>7348</v>
      </c>
      <c r="F79" s="611" t="s">
        <v>121</v>
      </c>
      <c r="G79" s="568"/>
      <c r="H79" s="489"/>
    </row>
    <row r="80" spans="2:8" s="454" customFormat="1">
      <c r="B80" s="431" t="s">
        <v>185</v>
      </c>
      <c r="C80" s="222" t="s">
        <v>131</v>
      </c>
      <c r="D80" s="577">
        <v>0.28000000000000003</v>
      </c>
      <c r="E80" s="221">
        <v>3767</v>
      </c>
      <c r="F80" s="611" t="s">
        <v>121</v>
      </c>
      <c r="G80" s="568"/>
      <c r="H80" s="489"/>
    </row>
    <row r="81" spans="2:9" s="454" customFormat="1">
      <c r="B81" s="431" t="s">
        <v>424</v>
      </c>
      <c r="C81" s="222" t="s">
        <v>131</v>
      </c>
      <c r="D81" s="577">
        <v>1.26</v>
      </c>
      <c r="E81" s="221">
        <v>3768</v>
      </c>
      <c r="F81" s="611" t="s">
        <v>121</v>
      </c>
      <c r="G81" s="568"/>
      <c r="H81" s="489"/>
    </row>
    <row r="82" spans="2:9" s="454" customFormat="1">
      <c r="B82" s="431" t="s">
        <v>404</v>
      </c>
      <c r="C82" s="222" t="s">
        <v>131</v>
      </c>
      <c r="D82" s="577">
        <v>6.38</v>
      </c>
      <c r="E82" s="221">
        <v>12815</v>
      </c>
      <c r="F82" s="611" t="s">
        <v>121</v>
      </c>
      <c r="G82" s="568"/>
      <c r="H82" s="489"/>
    </row>
    <row r="83" spans="2:9" s="454" customFormat="1">
      <c r="B83" s="431" t="s">
        <v>100</v>
      </c>
      <c r="C83" s="220" t="s">
        <v>131</v>
      </c>
      <c r="D83" s="577">
        <v>23.43</v>
      </c>
      <c r="E83" s="221" t="s">
        <v>167</v>
      </c>
      <c r="F83" s="611" t="s">
        <v>121</v>
      </c>
      <c r="G83" s="568"/>
      <c r="H83" s="489"/>
    </row>
    <row r="84" spans="2:9" s="454" customFormat="1" ht="39" customHeight="1">
      <c r="B84" s="223" t="s">
        <v>510</v>
      </c>
      <c r="C84" s="220" t="s">
        <v>54</v>
      </c>
      <c r="D84" s="577">
        <v>0.77</v>
      </c>
      <c r="E84" s="221">
        <v>10487</v>
      </c>
      <c r="F84" s="611" t="s">
        <v>121</v>
      </c>
      <c r="G84" s="568"/>
      <c r="H84" s="489"/>
      <c r="I84" s="134"/>
    </row>
    <row r="85" spans="2:9" s="454" customFormat="1" ht="33.75" customHeight="1">
      <c r="B85" s="384" t="s">
        <v>292</v>
      </c>
      <c r="C85" s="218" t="s">
        <v>54</v>
      </c>
      <c r="D85" s="580">
        <v>3.27</v>
      </c>
      <c r="E85" s="219">
        <v>10533</v>
      </c>
      <c r="F85" s="611" t="s">
        <v>121</v>
      </c>
      <c r="G85" s="461"/>
      <c r="H85" s="489"/>
      <c r="I85" s="134"/>
    </row>
    <row r="86" spans="2:9" s="454" customFormat="1" ht="40.5" customHeight="1">
      <c r="B86" s="223" t="s">
        <v>444</v>
      </c>
      <c r="C86" s="220" t="s">
        <v>131</v>
      </c>
      <c r="D86" s="577">
        <v>32.86</v>
      </c>
      <c r="E86" s="221">
        <v>1357</v>
      </c>
      <c r="F86" s="611" t="s">
        <v>121</v>
      </c>
      <c r="G86" s="568"/>
      <c r="H86" s="489"/>
      <c r="I86" s="134"/>
    </row>
    <row r="87" spans="2:9" s="454" customFormat="1" ht="12.95" customHeight="1">
      <c r="B87" s="223" t="s">
        <v>169</v>
      </c>
      <c r="C87" s="220" t="s">
        <v>54</v>
      </c>
      <c r="D87" s="577">
        <v>8.69</v>
      </c>
      <c r="E87" s="221" t="s">
        <v>170</v>
      </c>
      <c r="F87" s="611" t="str">
        <f>F33</f>
        <v>SINAPI</v>
      </c>
      <c r="G87" s="568"/>
      <c r="H87" s="489"/>
      <c r="I87" s="134"/>
    </row>
    <row r="88" spans="2:9" s="454" customFormat="1" ht="51">
      <c r="B88" s="231" t="s">
        <v>171</v>
      </c>
      <c r="C88" s="226" t="s">
        <v>80</v>
      </c>
      <c r="D88" s="581">
        <v>225.6</v>
      </c>
      <c r="E88" s="227">
        <v>13629</v>
      </c>
      <c r="F88" s="611" t="str">
        <f>F34</f>
        <v>SINAPI</v>
      </c>
      <c r="G88" s="230"/>
      <c r="H88" s="489"/>
      <c r="I88" s="134"/>
    </row>
    <row r="89" spans="2:9" s="454" customFormat="1" ht="25.5">
      <c r="B89" s="231" t="s">
        <v>172</v>
      </c>
      <c r="C89" s="226" t="s">
        <v>71</v>
      </c>
      <c r="D89" s="581">
        <v>3.69</v>
      </c>
      <c r="E89" s="227">
        <v>4417</v>
      </c>
      <c r="F89" s="611" t="str">
        <f>F35</f>
        <v>SINAPI</v>
      </c>
      <c r="G89" s="230"/>
      <c r="H89" s="489"/>
      <c r="I89" s="134"/>
    </row>
    <row r="90" spans="2:9" s="454" customFormat="1" ht="25.5">
      <c r="B90" s="231" t="s">
        <v>173</v>
      </c>
      <c r="C90" s="226" t="s">
        <v>71</v>
      </c>
      <c r="D90" s="581">
        <v>5.26</v>
      </c>
      <c r="E90" s="227">
        <v>4491</v>
      </c>
      <c r="F90" s="611" t="str">
        <f>F36</f>
        <v>SINAPI</v>
      </c>
      <c r="G90" s="230"/>
      <c r="H90" s="489"/>
      <c r="I90" s="134"/>
    </row>
    <row r="91" spans="2:9" s="454" customFormat="1" ht="25.5">
      <c r="B91" s="231" t="s">
        <v>407</v>
      </c>
      <c r="C91" s="226" t="s">
        <v>74</v>
      </c>
      <c r="D91" s="581">
        <v>7.88</v>
      </c>
      <c r="E91" s="227">
        <v>333</v>
      </c>
      <c r="F91" s="611" t="str">
        <f t="shared" ref="F91:F97" si="0">F56</f>
        <v>SINAPI</v>
      </c>
      <c r="G91" s="230"/>
      <c r="H91" s="489"/>
      <c r="I91" s="134"/>
    </row>
    <row r="92" spans="2:9" s="454" customFormat="1" ht="25.5">
      <c r="B92" s="231" t="s">
        <v>408</v>
      </c>
      <c r="C92" s="226" t="s">
        <v>74</v>
      </c>
      <c r="D92" s="581">
        <v>7.25</v>
      </c>
      <c r="E92" s="227">
        <v>335</v>
      </c>
      <c r="F92" s="611" t="str">
        <f t="shared" si="0"/>
        <v>SINAPI</v>
      </c>
      <c r="G92" s="230"/>
      <c r="H92" s="489"/>
      <c r="I92" s="134"/>
    </row>
    <row r="93" spans="2:9" s="454" customFormat="1" ht="38.25">
      <c r="B93" s="231" t="s">
        <v>409</v>
      </c>
      <c r="C93" s="226" t="s">
        <v>71</v>
      </c>
      <c r="D93" s="581">
        <v>35.72</v>
      </c>
      <c r="E93" s="227">
        <v>7696</v>
      </c>
      <c r="F93" s="611" t="str">
        <f t="shared" si="0"/>
        <v>SINAPI</v>
      </c>
      <c r="G93" s="230"/>
      <c r="H93" s="489"/>
      <c r="I93" s="134"/>
    </row>
    <row r="94" spans="2:9" s="454" customFormat="1" ht="38.25">
      <c r="B94" s="231" t="s">
        <v>417</v>
      </c>
      <c r="C94" s="226" t="s">
        <v>71</v>
      </c>
      <c r="D94" s="581">
        <v>23.16</v>
      </c>
      <c r="E94" s="227">
        <v>7698</v>
      </c>
      <c r="F94" s="611" t="str">
        <f t="shared" si="0"/>
        <v>SINAPI</v>
      </c>
      <c r="G94" s="230"/>
      <c r="H94" s="489"/>
      <c r="I94" s="134"/>
    </row>
    <row r="95" spans="2:9" s="454" customFormat="1" ht="38.25">
      <c r="B95" s="231" t="s">
        <v>410</v>
      </c>
      <c r="C95" s="226" t="s">
        <v>80</v>
      </c>
      <c r="D95" s="581">
        <v>11.74</v>
      </c>
      <c r="E95" s="227">
        <v>7167</v>
      </c>
      <c r="F95" s="611" t="str">
        <f t="shared" si="0"/>
        <v>SINAPI</v>
      </c>
      <c r="G95" s="230"/>
      <c r="H95" s="489"/>
      <c r="I95" s="134"/>
    </row>
    <row r="96" spans="2:9" s="454" customFormat="1">
      <c r="B96" s="231" t="s">
        <v>419</v>
      </c>
      <c r="C96" s="226" t="s">
        <v>131</v>
      </c>
      <c r="D96" s="581">
        <v>2.2200000000000002</v>
      </c>
      <c r="E96" s="227">
        <v>4371</v>
      </c>
      <c r="F96" s="611" t="str">
        <f t="shared" si="0"/>
        <v>SINAPI</v>
      </c>
      <c r="G96" s="230"/>
      <c r="H96" s="489"/>
      <c r="I96" s="134"/>
    </row>
    <row r="97" spans="2:9" s="454" customFormat="1" ht="27" customHeight="1">
      <c r="B97" s="231" t="s">
        <v>453</v>
      </c>
      <c r="C97" s="226" t="s">
        <v>54</v>
      </c>
      <c r="D97" s="581">
        <v>2.8</v>
      </c>
      <c r="E97" s="227">
        <v>10764</v>
      </c>
      <c r="F97" s="611" t="str">
        <f t="shared" si="0"/>
        <v>SINAPI</v>
      </c>
      <c r="G97" s="230"/>
      <c r="H97" s="489"/>
      <c r="I97" s="134"/>
    </row>
    <row r="98" spans="2:9" s="454" customFormat="1" ht="51">
      <c r="B98" s="231" t="s">
        <v>454</v>
      </c>
      <c r="C98" s="226" t="s">
        <v>54</v>
      </c>
      <c r="D98" s="581">
        <v>3.38</v>
      </c>
      <c r="E98" s="227">
        <v>4035</v>
      </c>
      <c r="F98" s="612" t="str">
        <f>F96</f>
        <v>SINAPI</v>
      </c>
      <c r="G98" s="230"/>
      <c r="H98" s="489"/>
      <c r="I98" s="134"/>
    </row>
    <row r="99" spans="2:9" s="454" customFormat="1">
      <c r="B99" s="384" t="s">
        <v>527</v>
      </c>
      <c r="C99" s="228" t="s">
        <v>92</v>
      </c>
      <c r="D99" s="581">
        <v>9.2100000000000009</v>
      </c>
      <c r="E99" s="227">
        <v>2692</v>
      </c>
      <c r="F99" s="612" t="s">
        <v>121</v>
      </c>
      <c r="G99" s="230"/>
      <c r="H99" s="489"/>
      <c r="I99" s="134"/>
    </row>
    <row r="100" spans="2:9" s="454" customFormat="1">
      <c r="B100" s="223" t="s">
        <v>293</v>
      </c>
      <c r="C100" s="220" t="s">
        <v>74</v>
      </c>
      <c r="D100" s="578">
        <v>8.5</v>
      </c>
      <c r="E100" s="221">
        <v>337</v>
      </c>
      <c r="F100" s="611" t="s">
        <v>121</v>
      </c>
      <c r="G100" s="569"/>
      <c r="H100" s="489"/>
      <c r="I100" s="134"/>
    </row>
    <row r="101" spans="2:9" s="454" customFormat="1" ht="25.5">
      <c r="B101" s="223" t="s">
        <v>507</v>
      </c>
      <c r="C101" s="220" t="s">
        <v>131</v>
      </c>
      <c r="D101" s="578">
        <v>52.95</v>
      </c>
      <c r="E101" s="221"/>
      <c r="F101" s="613" t="s">
        <v>494</v>
      </c>
      <c r="G101" s="569"/>
      <c r="H101" s="489"/>
      <c r="I101" s="134"/>
    </row>
    <row r="102" spans="2:9" s="454" customFormat="1" ht="25.5">
      <c r="B102" s="384" t="s">
        <v>710</v>
      </c>
      <c r="C102" s="220" t="s">
        <v>71</v>
      </c>
      <c r="D102" s="578">
        <v>4.7</v>
      </c>
      <c r="E102" s="221">
        <v>10566</v>
      </c>
      <c r="F102" s="611" t="s">
        <v>121</v>
      </c>
      <c r="G102" s="569"/>
      <c r="H102" s="489"/>
      <c r="I102" s="134"/>
    </row>
    <row r="103" spans="2:9" s="454" customFormat="1" ht="25.5">
      <c r="B103" s="384" t="s">
        <v>445</v>
      </c>
      <c r="C103" s="220" t="s">
        <v>87</v>
      </c>
      <c r="D103" s="578">
        <v>637.95000000000005</v>
      </c>
      <c r="E103" s="221">
        <v>4006</v>
      </c>
      <c r="F103" s="611" t="s">
        <v>121</v>
      </c>
      <c r="G103" s="569"/>
      <c r="H103" s="489"/>
      <c r="I103" s="134"/>
    </row>
    <row r="104" spans="2:9" s="454" customFormat="1" ht="25.5">
      <c r="B104" s="231" t="s">
        <v>458</v>
      </c>
      <c r="C104" s="216" t="s">
        <v>180</v>
      </c>
      <c r="D104" s="579">
        <v>2748.85</v>
      </c>
      <c r="E104" s="217">
        <v>25398</v>
      </c>
      <c r="F104" s="611" t="s">
        <v>121</v>
      </c>
      <c r="G104" s="134"/>
      <c r="H104" s="489"/>
      <c r="I104" s="134"/>
    </row>
    <row r="105" spans="2:9" s="454" customFormat="1" ht="25.5">
      <c r="B105" s="231" t="s">
        <v>461</v>
      </c>
      <c r="C105" s="216" t="s">
        <v>180</v>
      </c>
      <c r="D105" s="579">
        <v>817.1</v>
      </c>
      <c r="E105" s="217">
        <v>25400</v>
      </c>
      <c r="F105" s="611" t="s">
        <v>121</v>
      </c>
      <c r="G105" s="134"/>
      <c r="H105" s="492"/>
    </row>
    <row r="106" spans="2:9" s="454" customFormat="1" ht="25.5">
      <c r="B106" s="231" t="s">
        <v>481</v>
      </c>
      <c r="C106" s="216" t="s">
        <v>131</v>
      </c>
      <c r="D106" s="579">
        <v>47.3</v>
      </c>
      <c r="E106" s="217">
        <v>3279</v>
      </c>
      <c r="F106" s="611" t="s">
        <v>121</v>
      </c>
      <c r="G106" s="134"/>
      <c r="H106" s="492"/>
    </row>
    <row r="107" spans="2:9" s="454" customFormat="1" ht="25.5">
      <c r="B107" s="231" t="s">
        <v>476</v>
      </c>
      <c r="C107" s="216" t="s">
        <v>71</v>
      </c>
      <c r="D107" s="579">
        <v>2.76</v>
      </c>
      <c r="E107" s="217">
        <v>981</v>
      </c>
      <c r="F107" s="611" t="s">
        <v>121</v>
      </c>
      <c r="G107" s="134"/>
      <c r="H107" s="492"/>
    </row>
    <row r="108" spans="2:9" s="454" customFormat="1" ht="38.25">
      <c r="B108" s="231" t="s">
        <v>747</v>
      </c>
      <c r="C108" s="216" t="s">
        <v>71</v>
      </c>
      <c r="D108" s="579">
        <v>7.29</v>
      </c>
      <c r="E108" s="217">
        <v>980</v>
      </c>
      <c r="F108" s="611" t="s">
        <v>121</v>
      </c>
      <c r="G108" s="134"/>
      <c r="H108" s="492"/>
    </row>
    <row r="109" spans="2:9" s="454" customFormat="1">
      <c r="B109" s="231" t="s">
        <v>549</v>
      </c>
      <c r="C109" s="216" t="s">
        <v>71</v>
      </c>
      <c r="D109" s="579">
        <v>2.85</v>
      </c>
      <c r="E109" s="217">
        <v>2685</v>
      </c>
      <c r="F109" s="611" t="s">
        <v>121</v>
      </c>
      <c r="G109" s="134"/>
      <c r="H109" s="492"/>
    </row>
    <row r="110" spans="2:9" s="454" customFormat="1" ht="38.25">
      <c r="B110" s="231" t="s">
        <v>553</v>
      </c>
      <c r="C110" s="216" t="s">
        <v>131</v>
      </c>
      <c r="D110" s="579">
        <v>44.38</v>
      </c>
      <c r="E110" s="217">
        <v>3380</v>
      </c>
      <c r="F110" s="611" t="s">
        <v>121</v>
      </c>
      <c r="G110" s="134"/>
      <c r="H110" s="492"/>
    </row>
    <row r="111" spans="2:9" s="454" customFormat="1" ht="38.25">
      <c r="B111" s="231" t="s">
        <v>480</v>
      </c>
      <c r="C111" s="216" t="s">
        <v>131</v>
      </c>
      <c r="D111" s="579">
        <v>19.3</v>
      </c>
      <c r="E111" s="217">
        <v>12035</v>
      </c>
      <c r="F111" s="611" t="s">
        <v>121</v>
      </c>
      <c r="G111" s="134"/>
      <c r="H111" s="492"/>
    </row>
    <row r="112" spans="2:9" s="454" customFormat="1">
      <c r="B112" s="231" t="s">
        <v>484</v>
      </c>
      <c r="C112" s="216" t="s">
        <v>131</v>
      </c>
      <c r="D112" s="579">
        <v>99.38</v>
      </c>
      <c r="E112" s="217">
        <v>3752</v>
      </c>
      <c r="F112" s="611" t="s">
        <v>121</v>
      </c>
      <c r="G112" s="134"/>
      <c r="H112" s="492"/>
    </row>
    <row r="113" spans="2:12" s="454" customFormat="1" ht="51">
      <c r="B113" s="231" t="s">
        <v>485</v>
      </c>
      <c r="C113" s="216" t="s">
        <v>131</v>
      </c>
      <c r="D113" s="579">
        <v>51.85</v>
      </c>
      <c r="E113" s="217">
        <v>12273</v>
      </c>
      <c r="F113" s="611" t="s">
        <v>121</v>
      </c>
      <c r="G113" s="134"/>
      <c r="H113" s="492"/>
    </row>
    <row r="114" spans="2:12" s="454" customFormat="1" ht="25.5">
      <c r="B114" s="231" t="s">
        <v>486</v>
      </c>
      <c r="C114" s="216" t="s">
        <v>131</v>
      </c>
      <c r="D114" s="579">
        <v>74</v>
      </c>
      <c r="E114" s="217">
        <v>12318</v>
      </c>
      <c r="F114" s="611" t="s">
        <v>121</v>
      </c>
      <c r="G114" s="134"/>
      <c r="H114" s="492"/>
    </row>
    <row r="115" spans="2:12" s="454" customFormat="1" ht="25.5">
      <c r="B115" s="231" t="s">
        <v>497</v>
      </c>
      <c r="C115" s="216" t="s">
        <v>131</v>
      </c>
      <c r="D115" s="579">
        <v>65</v>
      </c>
      <c r="E115" s="217"/>
      <c r="F115" s="613" t="s">
        <v>494</v>
      </c>
      <c r="G115" s="134"/>
      <c r="H115" s="492"/>
    </row>
    <row r="116" spans="2:12" s="454" customFormat="1" ht="25.5">
      <c r="B116" s="231" t="s">
        <v>498</v>
      </c>
      <c r="C116" s="216" t="s">
        <v>502</v>
      </c>
      <c r="D116" s="579">
        <v>60.9</v>
      </c>
      <c r="E116" s="217"/>
      <c r="F116" s="613" t="s">
        <v>494</v>
      </c>
      <c r="G116" s="134"/>
      <c r="H116" s="492"/>
    </row>
    <row r="117" spans="2:12" s="454" customFormat="1" ht="38.25">
      <c r="B117" s="231" t="s">
        <v>489</v>
      </c>
      <c r="C117" s="216" t="s">
        <v>71</v>
      </c>
      <c r="D117" s="579">
        <v>47.26</v>
      </c>
      <c r="E117" s="217">
        <v>7701</v>
      </c>
      <c r="F117" s="611" t="s">
        <v>121</v>
      </c>
      <c r="G117" s="134"/>
      <c r="H117" s="492"/>
    </row>
    <row r="118" spans="2:12" s="454" customFormat="1" ht="38.25">
      <c r="B118" s="231" t="s">
        <v>503</v>
      </c>
      <c r="C118" s="216" t="s">
        <v>71</v>
      </c>
      <c r="D118" s="579">
        <v>8.67</v>
      </c>
      <c r="E118" s="217">
        <v>7691</v>
      </c>
      <c r="F118" s="611" t="s">
        <v>121</v>
      </c>
      <c r="G118" s="134"/>
      <c r="H118" s="492"/>
    </row>
    <row r="119" spans="2:12" s="454" customFormat="1" ht="38.25">
      <c r="B119" s="231" t="s">
        <v>496</v>
      </c>
      <c r="C119" s="216" t="s">
        <v>71</v>
      </c>
      <c r="D119" s="579">
        <v>35.72</v>
      </c>
      <c r="E119" s="217">
        <v>7696</v>
      </c>
      <c r="F119" s="611" t="s">
        <v>121</v>
      </c>
      <c r="G119" s="134"/>
      <c r="H119" s="492"/>
    </row>
    <row r="120" spans="2:12" s="454" customFormat="1" ht="38.25">
      <c r="B120" s="231" t="s">
        <v>499</v>
      </c>
      <c r="C120" s="216" t="s">
        <v>71</v>
      </c>
      <c r="D120" s="579">
        <v>53.57</v>
      </c>
      <c r="E120" s="217">
        <v>7694</v>
      </c>
      <c r="F120" s="611" t="s">
        <v>121</v>
      </c>
      <c r="G120" s="134"/>
      <c r="H120" s="491"/>
      <c r="I120" s="491"/>
      <c r="J120" s="491"/>
      <c r="K120" s="491"/>
      <c r="L120" s="491"/>
    </row>
    <row r="121" spans="2:12" s="454" customFormat="1" ht="38.25">
      <c r="B121" s="231" t="s">
        <v>500</v>
      </c>
      <c r="C121" s="216" t="s">
        <v>71</v>
      </c>
      <c r="D121" s="579">
        <v>86.63</v>
      </c>
      <c r="E121" s="217">
        <v>7693</v>
      </c>
      <c r="F121" s="611" t="s">
        <v>121</v>
      </c>
      <c r="G121" s="134"/>
      <c r="H121" s="492"/>
    </row>
    <row r="122" spans="2:12" s="454" customFormat="1">
      <c r="B122" s="231" t="s">
        <v>490</v>
      </c>
      <c r="C122" s="216" t="s">
        <v>131</v>
      </c>
      <c r="D122" s="579">
        <v>13.77</v>
      </c>
      <c r="E122" s="217">
        <v>11573</v>
      </c>
      <c r="F122" s="611" t="s">
        <v>121</v>
      </c>
      <c r="G122" s="134"/>
      <c r="H122" s="492"/>
    </row>
    <row r="123" spans="2:12" s="454" customFormat="1" ht="25.5">
      <c r="B123" s="231" t="s">
        <v>491</v>
      </c>
      <c r="C123" s="216" t="s">
        <v>74</v>
      </c>
      <c r="D123" s="579">
        <v>17.12</v>
      </c>
      <c r="E123" s="217">
        <v>10998</v>
      </c>
      <c r="F123" s="611" t="s">
        <v>121</v>
      </c>
      <c r="G123" s="134"/>
      <c r="H123" s="492"/>
    </row>
    <row r="124" spans="2:12" s="454" customFormat="1" ht="25.5">
      <c r="B124" s="231" t="s">
        <v>492</v>
      </c>
      <c r="C124" s="216" t="s">
        <v>54</v>
      </c>
      <c r="D124" s="579">
        <v>1.1599999999999999</v>
      </c>
      <c r="E124" s="217">
        <v>3335</v>
      </c>
      <c r="F124" s="611" t="s">
        <v>121</v>
      </c>
      <c r="G124" s="134"/>
      <c r="H124" s="492"/>
    </row>
    <row r="125" spans="2:12" s="454" customFormat="1" ht="25.5">
      <c r="B125" s="349" t="s">
        <v>605</v>
      </c>
      <c r="C125" s="216" t="s">
        <v>71</v>
      </c>
      <c r="D125" s="579">
        <v>5.97</v>
      </c>
      <c r="E125" s="217">
        <v>1119</v>
      </c>
      <c r="F125" s="611" t="s">
        <v>121</v>
      </c>
      <c r="G125" s="134"/>
      <c r="H125" s="492"/>
    </row>
    <row r="126" spans="2:12" s="454" customFormat="1" ht="25.5">
      <c r="B126" s="432" t="s">
        <v>495</v>
      </c>
      <c r="C126" s="216" t="s">
        <v>426</v>
      </c>
      <c r="D126" s="579">
        <v>95.9</v>
      </c>
      <c r="E126" s="217"/>
      <c r="F126" s="613" t="s">
        <v>494</v>
      </c>
      <c r="G126" s="134"/>
      <c r="H126" s="492"/>
    </row>
    <row r="127" spans="2:12" s="454" customFormat="1">
      <c r="B127" s="223" t="s">
        <v>443</v>
      </c>
      <c r="C127" s="216" t="s">
        <v>74</v>
      </c>
      <c r="D127" s="582">
        <v>3.49</v>
      </c>
      <c r="E127" s="217">
        <v>33</v>
      </c>
      <c r="F127" s="611" t="s">
        <v>121</v>
      </c>
      <c r="G127" s="570"/>
      <c r="H127" s="492"/>
    </row>
    <row r="128" spans="2:12" s="454" customFormat="1">
      <c r="B128" s="223" t="s">
        <v>442</v>
      </c>
      <c r="C128" s="216" t="s">
        <v>74</v>
      </c>
      <c r="D128" s="578">
        <v>3.26</v>
      </c>
      <c r="E128" s="217">
        <v>27</v>
      </c>
      <c r="F128" s="611" t="s">
        <v>121</v>
      </c>
      <c r="G128" s="569"/>
      <c r="H128" s="492"/>
    </row>
    <row r="129" spans="2:8" s="454" customFormat="1" ht="25.5">
      <c r="B129" s="223" t="s">
        <v>711</v>
      </c>
      <c r="C129" s="220" t="s">
        <v>74</v>
      </c>
      <c r="D129" s="578">
        <v>3.73</v>
      </c>
      <c r="E129" s="221">
        <v>32</v>
      </c>
      <c r="F129" s="611" t="s">
        <v>121</v>
      </c>
      <c r="G129" s="569"/>
      <c r="H129" s="492"/>
    </row>
    <row r="130" spans="2:8" s="454" customFormat="1" ht="25.5">
      <c r="B130" s="223" t="s">
        <v>712</v>
      </c>
      <c r="C130" s="220" t="s">
        <v>74</v>
      </c>
      <c r="D130" s="578">
        <v>3.77</v>
      </c>
      <c r="E130" s="221">
        <v>39</v>
      </c>
      <c r="F130" s="611" t="s">
        <v>121</v>
      </c>
      <c r="G130" s="569"/>
      <c r="H130" s="492"/>
    </row>
    <row r="131" spans="2:8" s="454" customFormat="1" ht="51">
      <c r="B131" s="223" t="s">
        <v>734</v>
      </c>
      <c r="C131" s="220" t="s">
        <v>131</v>
      </c>
      <c r="D131" s="578">
        <v>96.28</v>
      </c>
      <c r="E131" s="221">
        <v>13845</v>
      </c>
      <c r="F131" s="611" t="s">
        <v>121</v>
      </c>
      <c r="G131" s="569"/>
      <c r="H131" s="492"/>
    </row>
    <row r="132" spans="2:8" s="454" customFormat="1" ht="25.5">
      <c r="B132" s="432" t="s">
        <v>750</v>
      </c>
      <c r="C132" s="216" t="s">
        <v>131</v>
      </c>
      <c r="D132" s="579">
        <v>16.829999999999998</v>
      </c>
      <c r="E132" s="217"/>
      <c r="F132" s="613" t="s">
        <v>494</v>
      </c>
      <c r="G132" s="134"/>
      <c r="H132" s="492"/>
    </row>
    <row r="133" spans="2:8" s="454" customFormat="1" ht="38.25">
      <c r="B133" s="223" t="s">
        <v>744</v>
      </c>
      <c r="C133" s="220" t="s">
        <v>54</v>
      </c>
      <c r="D133" s="578">
        <v>137.96</v>
      </c>
      <c r="E133" s="221">
        <v>1286</v>
      </c>
      <c r="F133" s="611" t="s">
        <v>121</v>
      </c>
      <c r="G133" s="569"/>
      <c r="H133" s="492"/>
    </row>
    <row r="134" spans="2:8" s="454" customFormat="1">
      <c r="B134" s="223" t="s">
        <v>723</v>
      </c>
      <c r="C134" s="220" t="s">
        <v>738</v>
      </c>
      <c r="D134" s="578">
        <v>112.38</v>
      </c>
      <c r="E134" s="221">
        <v>5843</v>
      </c>
      <c r="F134" s="611" t="s">
        <v>121</v>
      </c>
      <c r="G134" s="569"/>
      <c r="H134" s="492"/>
    </row>
    <row r="135" spans="2:8" s="454" customFormat="1">
      <c r="B135" s="223" t="s">
        <v>723</v>
      </c>
      <c r="C135" s="220" t="s">
        <v>739</v>
      </c>
      <c r="D135" s="578">
        <v>42.65</v>
      </c>
      <c r="E135" s="221">
        <v>5845</v>
      </c>
      <c r="F135" s="611" t="s">
        <v>121</v>
      </c>
      <c r="G135" s="569"/>
      <c r="H135" s="492"/>
    </row>
    <row r="136" spans="2:8" s="454" customFormat="1" ht="25.5">
      <c r="B136" s="223" t="s">
        <v>725</v>
      </c>
      <c r="C136" s="220" t="s">
        <v>738</v>
      </c>
      <c r="D136" s="578">
        <v>181.88</v>
      </c>
      <c r="E136" s="221">
        <v>5932</v>
      </c>
      <c r="F136" s="611" t="s">
        <v>121</v>
      </c>
      <c r="G136" s="569"/>
      <c r="H136" s="492"/>
    </row>
    <row r="137" spans="2:8" s="454" customFormat="1" ht="25.5">
      <c r="B137" s="223" t="s">
        <v>725</v>
      </c>
      <c r="C137" s="220" t="s">
        <v>739</v>
      </c>
      <c r="D137" s="578">
        <v>83.22</v>
      </c>
      <c r="E137" s="221">
        <v>5934</v>
      </c>
      <c r="F137" s="611" t="s">
        <v>121</v>
      </c>
      <c r="G137" s="569"/>
      <c r="H137" s="492"/>
    </row>
    <row r="138" spans="2:8" s="454" customFormat="1" ht="38.25">
      <c r="B138" s="609" t="s">
        <v>726</v>
      </c>
      <c r="C138" s="220" t="s">
        <v>738</v>
      </c>
      <c r="D138" s="578">
        <v>113.25</v>
      </c>
      <c r="E138" s="221">
        <v>5948</v>
      </c>
      <c r="F138" s="611" t="s">
        <v>121</v>
      </c>
      <c r="G138" s="569"/>
      <c r="H138" s="492"/>
    </row>
    <row r="139" spans="2:8" s="454" customFormat="1" ht="38.25">
      <c r="B139" s="614" t="s">
        <v>726</v>
      </c>
      <c r="C139" s="220" t="s">
        <v>739</v>
      </c>
      <c r="D139" s="578">
        <v>45.6</v>
      </c>
      <c r="E139" s="221">
        <v>5948</v>
      </c>
      <c r="F139" s="611" t="s">
        <v>121</v>
      </c>
      <c r="G139" s="569"/>
      <c r="H139" s="492"/>
    </row>
    <row r="140" spans="2:8" s="454" customFormat="1" ht="25.5">
      <c r="B140" s="223" t="s">
        <v>722</v>
      </c>
      <c r="C140" s="220" t="s">
        <v>738</v>
      </c>
      <c r="D140" s="578">
        <v>6.99</v>
      </c>
      <c r="E140" s="221">
        <v>5689</v>
      </c>
      <c r="F140" s="611" t="s">
        <v>121</v>
      </c>
      <c r="G140" s="569"/>
      <c r="H140" s="492"/>
    </row>
    <row r="141" spans="2:8" s="454" customFormat="1" ht="25.5">
      <c r="B141" s="223" t="s">
        <v>722</v>
      </c>
      <c r="C141" s="220" t="s">
        <v>739</v>
      </c>
      <c r="D141" s="578">
        <v>5.24</v>
      </c>
      <c r="E141" s="221">
        <v>5690</v>
      </c>
      <c r="F141" s="611" t="s">
        <v>121</v>
      </c>
      <c r="G141" s="569"/>
      <c r="H141" s="492"/>
    </row>
    <row r="142" spans="2:8" s="454" customFormat="1" ht="63.75">
      <c r="B142" s="223" t="s">
        <v>724</v>
      </c>
      <c r="C142" s="220" t="s">
        <v>738</v>
      </c>
      <c r="D142" s="578">
        <v>103.36</v>
      </c>
      <c r="E142" s="221">
        <v>5901</v>
      </c>
      <c r="F142" s="611" t="s">
        <v>121</v>
      </c>
      <c r="G142" s="569"/>
      <c r="H142" s="492"/>
    </row>
    <row r="143" spans="2:8" s="454" customFormat="1" ht="63.75">
      <c r="B143" s="223" t="s">
        <v>724</v>
      </c>
      <c r="C143" s="220" t="s">
        <v>739</v>
      </c>
      <c r="D143" s="578">
        <v>35.79</v>
      </c>
      <c r="E143" s="221">
        <v>5903</v>
      </c>
      <c r="F143" s="611" t="s">
        <v>121</v>
      </c>
      <c r="G143" s="569"/>
      <c r="H143" s="492"/>
    </row>
    <row r="144" spans="2:8" s="454" customFormat="1">
      <c r="B144" s="229"/>
      <c r="E144" s="130"/>
      <c r="F144" s="492"/>
      <c r="G144" s="488"/>
      <c r="H144" s="492"/>
    </row>
    <row r="145" spans="2:8" s="454" customFormat="1">
      <c r="B145" s="229"/>
      <c r="E145" s="130"/>
      <c r="F145" s="492"/>
      <c r="G145" s="488"/>
      <c r="H145" s="492"/>
    </row>
    <row r="146" spans="2:8" s="454" customFormat="1">
      <c r="B146" s="229"/>
      <c r="E146" s="130"/>
      <c r="F146" s="492"/>
      <c r="G146" s="488"/>
      <c r="H146" s="492"/>
    </row>
    <row r="147" spans="2:8" s="454" customFormat="1">
      <c r="B147" s="229"/>
      <c r="E147" s="130"/>
      <c r="F147" s="492"/>
      <c r="G147" s="488"/>
      <c r="H147" s="492"/>
    </row>
    <row r="148" spans="2:8" s="454" customFormat="1">
      <c r="B148" s="229"/>
      <c r="E148" s="130"/>
      <c r="F148" s="492"/>
      <c r="G148" s="488"/>
      <c r="H148" s="492"/>
    </row>
  </sheetData>
  <sheetProtection selectLockedCells="1" selectUnlockedCells="1"/>
  <mergeCells count="14">
    <mergeCell ref="B2:F5"/>
    <mergeCell ref="B6:F6"/>
    <mergeCell ref="B7:C7"/>
    <mergeCell ref="B8:C8"/>
    <mergeCell ref="B9:C9"/>
    <mergeCell ref="D7:F7"/>
    <mergeCell ref="D8:F8"/>
    <mergeCell ref="D9:F9"/>
    <mergeCell ref="L52:P52"/>
    <mergeCell ref="B37:F37"/>
    <mergeCell ref="B13:F13"/>
    <mergeCell ref="B11:F12"/>
    <mergeCell ref="D10:F10"/>
    <mergeCell ref="B10:C10"/>
  </mergeCells>
  <phoneticPr fontId="13" type="noConversion"/>
  <printOptions horizontalCentered="1"/>
  <pageMargins left="0.98425196850393704" right="0.39370078740157483" top="0.39370078740157483" bottom="0.78740157480314965" header="0.51181102362204722" footer="0.51181102362204722"/>
  <pageSetup paperSize="9" scale="79" firstPageNumber="0" orientation="portrait" verticalDpi="599" r:id="rId1"/>
  <headerFooter alignWithMargins="0"/>
  <rowBreaks count="1" manualBreakCount="1">
    <brk id="116" min="1" max="5" man="1"/>
  </rowBreaks>
  <drawing r:id="rId2"/>
</worksheet>
</file>

<file path=xl/worksheets/sheet4.xml><?xml version="1.0" encoding="utf-8"?>
<worksheet xmlns="http://schemas.openxmlformats.org/spreadsheetml/2006/main" xmlns:r="http://schemas.openxmlformats.org/officeDocument/2006/relationships">
  <dimension ref="A1:P46"/>
  <sheetViews>
    <sheetView topLeftCell="A7" workbookViewId="0">
      <selection sqref="A1:G5"/>
    </sheetView>
  </sheetViews>
  <sheetFormatPr defaultRowHeight="12.75"/>
  <cols>
    <col min="1" max="1" width="4.42578125" customWidth="1"/>
    <col min="3" max="3" width="26.28515625" customWidth="1"/>
    <col min="6" max="6" width="10.140625" customWidth="1"/>
    <col min="7" max="7" width="15.85546875" customWidth="1"/>
  </cols>
  <sheetData>
    <row r="1" spans="1:16">
      <c r="A1" s="849"/>
      <c r="B1" s="849"/>
      <c r="C1" s="849"/>
      <c r="D1" s="849"/>
      <c r="E1" s="849"/>
      <c r="F1" s="849"/>
      <c r="G1" s="849"/>
      <c r="H1" s="1"/>
      <c r="I1" s="2"/>
      <c r="J1" s="2"/>
      <c r="K1" s="2"/>
      <c r="L1" s="2"/>
      <c r="M1" s="2"/>
      <c r="N1" s="2"/>
      <c r="O1" s="2"/>
      <c r="P1" s="2"/>
    </row>
    <row r="2" spans="1:16">
      <c r="A2" s="849"/>
      <c r="B2" s="849"/>
      <c r="C2" s="849"/>
      <c r="D2" s="849"/>
      <c r="E2" s="849"/>
      <c r="F2" s="849"/>
      <c r="G2" s="849"/>
      <c r="H2" s="1"/>
      <c r="I2" s="2"/>
      <c r="J2" s="2"/>
      <c r="K2" s="2"/>
      <c r="L2" s="2"/>
      <c r="M2" s="2"/>
      <c r="N2" s="2"/>
      <c r="O2" s="2"/>
      <c r="P2" s="2"/>
    </row>
    <row r="3" spans="1:16">
      <c r="A3" s="849"/>
      <c r="B3" s="849"/>
      <c r="C3" s="849"/>
      <c r="D3" s="849"/>
      <c r="E3" s="849"/>
      <c r="F3" s="849"/>
      <c r="G3" s="849"/>
      <c r="H3" s="1"/>
      <c r="I3" s="2"/>
      <c r="J3" s="2"/>
      <c r="K3" s="2"/>
      <c r="L3" s="2"/>
      <c r="M3" s="2"/>
      <c r="N3" s="2"/>
      <c r="O3" s="2"/>
      <c r="P3" s="2"/>
    </row>
    <row r="4" spans="1:16">
      <c r="A4" s="849"/>
      <c r="B4" s="849"/>
      <c r="C4" s="849"/>
      <c r="D4" s="849"/>
      <c r="E4" s="849"/>
      <c r="F4" s="849"/>
      <c r="G4" s="849"/>
      <c r="H4" s="1"/>
      <c r="I4" s="2"/>
      <c r="J4" s="2"/>
      <c r="K4" s="2"/>
      <c r="L4" s="2"/>
      <c r="M4" s="2"/>
      <c r="N4" s="2"/>
      <c r="O4" s="2"/>
      <c r="P4" s="2"/>
    </row>
    <row r="5" spans="1:16">
      <c r="A5" s="849"/>
      <c r="B5" s="849"/>
      <c r="C5" s="849"/>
      <c r="D5" s="849"/>
      <c r="E5" s="849"/>
      <c r="F5" s="849"/>
      <c r="G5" s="849"/>
      <c r="H5" s="1"/>
      <c r="I5" s="2"/>
      <c r="J5" s="2"/>
      <c r="K5" s="2"/>
      <c r="L5" s="2"/>
      <c r="M5" s="2"/>
      <c r="N5" s="2"/>
      <c r="O5" s="2"/>
      <c r="P5" s="2"/>
    </row>
    <row r="6" spans="1:16" ht="15" customHeight="1">
      <c r="A6" s="850" t="s">
        <v>0</v>
      </c>
      <c r="B6" s="850"/>
      <c r="C6" s="850"/>
      <c r="D6" s="850"/>
      <c r="E6" s="850"/>
      <c r="F6" s="850"/>
      <c r="G6" s="850"/>
      <c r="H6" s="2"/>
      <c r="I6" s="2"/>
      <c r="J6" s="2"/>
      <c r="K6" s="2"/>
      <c r="L6" s="2"/>
      <c r="M6" s="2"/>
      <c r="N6" s="2"/>
      <c r="O6" s="2"/>
      <c r="P6" s="2"/>
    </row>
    <row r="7" spans="1:16" ht="12.95" customHeight="1">
      <c r="A7" s="851" t="s">
        <v>702</v>
      </c>
      <c r="B7" s="851"/>
      <c r="C7" s="851"/>
      <c r="D7" s="851"/>
      <c r="E7" s="851"/>
      <c r="F7" s="851"/>
      <c r="G7" s="851"/>
      <c r="H7" s="2"/>
      <c r="I7" s="2"/>
      <c r="J7" s="2"/>
      <c r="K7" s="2"/>
      <c r="L7" s="2"/>
      <c r="M7" s="2"/>
      <c r="N7" s="2"/>
      <c r="O7" s="2"/>
      <c r="P7" s="2"/>
    </row>
    <row r="8" spans="1:16" ht="29.25" customHeight="1">
      <c r="A8" s="851"/>
      <c r="B8" s="851"/>
      <c r="C8" s="851"/>
      <c r="D8" s="851"/>
      <c r="E8" s="851"/>
      <c r="F8" s="851"/>
      <c r="G8" s="851"/>
      <c r="H8" s="2"/>
      <c r="I8" s="3" t="s">
        <v>1</v>
      </c>
      <c r="J8" s="2"/>
      <c r="K8" s="2"/>
      <c r="L8" s="2"/>
      <c r="M8" s="2"/>
      <c r="N8" s="2"/>
      <c r="O8" s="2"/>
      <c r="P8" s="2"/>
    </row>
    <row r="9" spans="1:16">
      <c r="A9" s="2"/>
      <c r="B9" s="4" t="s">
        <v>2</v>
      </c>
      <c r="C9" s="5"/>
      <c r="D9" s="2"/>
      <c r="E9" s="2"/>
      <c r="F9" s="2"/>
      <c r="G9" s="6" t="s">
        <v>1</v>
      </c>
      <c r="H9" s="2"/>
      <c r="I9" s="6"/>
      <c r="J9" s="2"/>
      <c r="K9" s="2"/>
      <c r="L9" s="2"/>
      <c r="M9" s="2"/>
      <c r="N9" s="2"/>
      <c r="O9" s="2"/>
      <c r="P9" s="2"/>
    </row>
    <row r="10" spans="1:16">
      <c r="A10" s="2"/>
      <c r="B10" s="852" t="s">
        <v>3</v>
      </c>
      <c r="C10" s="853" t="s">
        <v>4</v>
      </c>
      <c r="D10" s="7" t="s">
        <v>5</v>
      </c>
      <c r="E10" s="7" t="s">
        <v>5</v>
      </c>
      <c r="F10" s="8" t="s">
        <v>6</v>
      </c>
      <c r="G10" s="9" t="s">
        <v>7</v>
      </c>
      <c r="H10" s="3" t="s">
        <v>1</v>
      </c>
      <c r="P10" s="2"/>
    </row>
    <row r="11" spans="1:16">
      <c r="A11" s="2"/>
      <c r="B11" s="852"/>
      <c r="C11" s="853"/>
      <c r="D11" s="10" t="s">
        <v>8</v>
      </c>
      <c r="E11" s="10" t="s">
        <v>9</v>
      </c>
      <c r="F11" s="10" t="s">
        <v>10</v>
      </c>
      <c r="G11" s="11" t="s">
        <v>10</v>
      </c>
      <c r="H11" s="2"/>
      <c r="P11" s="2"/>
    </row>
    <row r="12" spans="1:16">
      <c r="A12" s="2"/>
      <c r="B12" s="12"/>
      <c r="C12" s="13"/>
      <c r="D12" s="14"/>
      <c r="E12" s="14"/>
      <c r="F12" s="14"/>
      <c r="G12" s="15"/>
      <c r="H12" s="2"/>
      <c r="P12" s="2"/>
    </row>
    <row r="13" spans="1:16" ht="14.25">
      <c r="A13" s="2"/>
      <c r="B13" s="16">
        <v>1</v>
      </c>
      <c r="C13" s="17" t="s">
        <v>11</v>
      </c>
      <c r="D13" s="18" t="s">
        <v>1</v>
      </c>
      <c r="E13" s="18">
        <v>6</v>
      </c>
      <c r="F13" s="19" t="s">
        <v>1</v>
      </c>
      <c r="G13" s="20"/>
      <c r="H13" s="2" t="s">
        <v>1</v>
      </c>
      <c r="P13" s="21"/>
    </row>
    <row r="14" spans="1:16">
      <c r="A14" s="2"/>
      <c r="B14" s="22" t="s">
        <v>12</v>
      </c>
      <c r="C14" s="19" t="s">
        <v>13</v>
      </c>
      <c r="D14" s="23" t="s">
        <v>1</v>
      </c>
      <c r="E14" s="23" t="s">
        <v>1</v>
      </c>
      <c r="F14" s="24" t="s">
        <v>1</v>
      </c>
      <c r="G14" s="25"/>
      <c r="H14" s="2"/>
      <c r="P14" s="2"/>
    </row>
    <row r="15" spans="1:16">
      <c r="A15" s="2"/>
      <c r="B15" s="22" t="s">
        <v>14</v>
      </c>
      <c r="C15" s="19" t="s">
        <v>15</v>
      </c>
      <c r="D15" s="23" t="s">
        <v>1</v>
      </c>
      <c r="E15" s="23" t="s">
        <v>1</v>
      </c>
      <c r="F15" s="24" t="s">
        <v>1</v>
      </c>
      <c r="G15" s="25"/>
      <c r="H15" s="2"/>
      <c r="P15" s="2"/>
    </row>
    <row r="16" spans="1:16">
      <c r="A16" s="2"/>
      <c r="B16" s="22" t="s">
        <v>1</v>
      </c>
      <c r="C16" s="19" t="s">
        <v>1</v>
      </c>
      <c r="D16" s="23" t="s">
        <v>1</v>
      </c>
      <c r="E16" s="23" t="s">
        <v>1</v>
      </c>
      <c r="F16" s="24" t="s">
        <v>1</v>
      </c>
      <c r="G16" s="25"/>
      <c r="H16" s="2"/>
      <c r="P16" s="2"/>
    </row>
    <row r="17" spans="1:16" ht="14.25">
      <c r="A17" s="2"/>
      <c r="B17" s="16">
        <v>2</v>
      </c>
      <c r="C17" s="17" t="s">
        <v>17</v>
      </c>
      <c r="D17" s="26">
        <f>SUM(D18:D21)</f>
        <v>6.65</v>
      </c>
      <c r="E17" s="26">
        <f>ROUND(SUM(E18:E21),2)</f>
        <v>8.31</v>
      </c>
      <c r="F17" s="24" t="s">
        <v>1</v>
      </c>
      <c r="G17" s="27"/>
      <c r="H17" s="2"/>
      <c r="P17" s="21"/>
    </row>
    <row r="18" spans="1:16" ht="14.25">
      <c r="A18" s="2"/>
      <c r="B18" s="22" t="s">
        <v>18</v>
      </c>
      <c r="C18" s="28" t="s">
        <v>19</v>
      </c>
      <c r="D18" s="23">
        <v>3</v>
      </c>
      <c r="E18" s="23">
        <f t="shared" ref="E18:E19" si="0">ROUND(D18*(1+($C$32/100)),2)</f>
        <v>3.75</v>
      </c>
      <c r="F18" s="24"/>
      <c r="G18" s="25"/>
      <c r="H18" s="2"/>
      <c r="P18" s="29"/>
    </row>
    <row r="19" spans="1:16" ht="14.25">
      <c r="A19" s="2"/>
      <c r="B19" s="22" t="s">
        <v>20</v>
      </c>
      <c r="C19" s="19" t="s">
        <v>21</v>
      </c>
      <c r="D19" s="23">
        <v>0.65</v>
      </c>
      <c r="E19" s="23">
        <f t="shared" si="0"/>
        <v>0.81</v>
      </c>
      <c r="F19" s="24"/>
      <c r="G19" s="25"/>
      <c r="H19" s="2"/>
      <c r="P19" s="29"/>
    </row>
    <row r="20" spans="1:16" ht="15">
      <c r="A20" s="2"/>
      <c r="B20" s="22" t="s">
        <v>22</v>
      </c>
      <c r="C20" s="19" t="s">
        <v>23</v>
      </c>
      <c r="D20" s="30">
        <v>3</v>
      </c>
      <c r="E20" s="23">
        <f>ROUND(D20*(1+($C$32/100)),2)</f>
        <v>3.75</v>
      </c>
      <c r="F20" s="24"/>
      <c r="G20" s="31" t="s">
        <v>1</v>
      </c>
      <c r="H20" s="2"/>
      <c r="P20" s="32"/>
    </row>
    <row r="21" spans="1:16" ht="14.25">
      <c r="A21" s="2"/>
      <c r="B21" s="22"/>
      <c r="C21" s="19"/>
      <c r="D21" s="23"/>
      <c r="E21" s="23"/>
      <c r="F21" s="24"/>
      <c r="G21" s="27"/>
      <c r="H21" s="2"/>
      <c r="P21" s="29"/>
    </row>
    <row r="22" spans="1:16" ht="14.25">
      <c r="A22" s="2"/>
      <c r="B22" s="22"/>
      <c r="C22" s="19"/>
      <c r="D22" s="23"/>
      <c r="E22" s="23"/>
      <c r="F22" s="24"/>
      <c r="G22" s="27"/>
      <c r="H22" s="2"/>
      <c r="P22" s="29"/>
    </row>
    <row r="23" spans="1:16" ht="15">
      <c r="A23" s="2"/>
      <c r="B23" s="16">
        <v>3</v>
      </c>
      <c r="C23" s="17" t="s">
        <v>25</v>
      </c>
      <c r="D23" s="23" t="s">
        <v>1</v>
      </c>
      <c r="E23" s="26">
        <v>0.8</v>
      </c>
      <c r="F23" s="24"/>
      <c r="G23" s="27"/>
      <c r="H23" s="2" t="s">
        <v>1</v>
      </c>
      <c r="P23" s="32"/>
    </row>
    <row r="24" spans="1:16" ht="14.25">
      <c r="A24" s="2"/>
      <c r="B24" s="22"/>
      <c r="C24" s="19"/>
      <c r="D24" s="23"/>
      <c r="E24" s="23"/>
      <c r="F24" s="24"/>
      <c r="G24" s="27"/>
      <c r="H24" s="2"/>
      <c r="P24" s="29"/>
    </row>
    <row r="25" spans="1:16">
      <c r="A25" s="2"/>
      <c r="B25" s="16">
        <v>4</v>
      </c>
      <c r="C25" s="17" t="s">
        <v>26</v>
      </c>
      <c r="D25" s="23" t="s">
        <v>1</v>
      </c>
      <c r="E25" s="26">
        <v>1.2</v>
      </c>
      <c r="F25" s="24"/>
      <c r="G25" s="27"/>
      <c r="H25" s="2" t="s">
        <v>1</v>
      </c>
      <c r="P25" s="2"/>
    </row>
    <row r="26" spans="1:16">
      <c r="A26" s="2"/>
      <c r="B26" s="22"/>
      <c r="C26" s="19"/>
      <c r="D26" s="23"/>
      <c r="E26" s="23"/>
      <c r="F26" s="24"/>
      <c r="G26" s="27"/>
      <c r="H26" s="2"/>
      <c r="P26" s="2"/>
    </row>
    <row r="27" spans="1:16">
      <c r="A27" s="2"/>
      <c r="B27" s="16">
        <v>5</v>
      </c>
      <c r="C27" s="17" t="s">
        <v>27</v>
      </c>
      <c r="D27" s="33">
        <v>6.95</v>
      </c>
      <c r="E27" s="23">
        <f>ROUND(D27*(1+($C$32/100)),2)</f>
        <v>8.69</v>
      </c>
      <c r="F27" s="24"/>
      <c r="G27" s="27"/>
      <c r="H27" s="2"/>
      <c r="P27" s="2"/>
    </row>
    <row r="28" spans="1:16">
      <c r="A28" s="2"/>
      <c r="B28" s="22"/>
      <c r="C28" s="19"/>
      <c r="D28" s="23"/>
      <c r="E28" s="23"/>
      <c r="F28" s="24"/>
      <c r="G28" s="25"/>
      <c r="H28" s="2"/>
      <c r="P28" s="2"/>
    </row>
    <row r="29" spans="1:16">
      <c r="A29" s="2"/>
      <c r="B29" s="34" t="s">
        <v>1</v>
      </c>
      <c r="C29" s="35" t="s">
        <v>1</v>
      </c>
      <c r="D29" s="36" t="s">
        <v>1</v>
      </c>
      <c r="E29" s="36">
        <f>E13+E17+E23+E25+E27</f>
        <v>25</v>
      </c>
      <c r="F29" s="37"/>
      <c r="G29" s="38"/>
      <c r="H29" s="2"/>
      <c r="P29" s="2"/>
    </row>
    <row r="30" spans="1:16">
      <c r="A30" s="2"/>
      <c r="B30" s="2"/>
      <c r="C30" s="2"/>
      <c r="D30" s="2"/>
      <c r="E30" s="854" t="s">
        <v>28</v>
      </c>
      <c r="F30" s="854"/>
      <c r="G30" s="39"/>
      <c r="H30" s="2"/>
      <c r="P30" s="2"/>
    </row>
    <row r="31" spans="1:16" ht="14.25">
      <c r="A31" s="2"/>
      <c r="B31" s="40" t="s">
        <v>29</v>
      </c>
      <c r="C31" s="41">
        <f>((1+E13/100+E23/100+E25/100)/(1-(D17/100+D27/100))-1)*100</f>
        <v>25</v>
      </c>
      <c r="D31" s="42" t="s">
        <v>30</v>
      </c>
      <c r="E31" s="2"/>
      <c r="F31" s="2"/>
      <c r="G31" s="2"/>
      <c r="H31" s="2"/>
      <c r="P31" s="2"/>
    </row>
    <row r="32" spans="1:16" ht="15">
      <c r="A32" s="2"/>
      <c r="B32" s="40" t="s">
        <v>29</v>
      </c>
      <c r="C32" s="43">
        <f>ROUNDUP(C31,2)</f>
        <v>25</v>
      </c>
      <c r="D32" s="42" t="s">
        <v>31</v>
      </c>
      <c r="E32" s="2"/>
      <c r="F32" s="2"/>
      <c r="G32" s="2"/>
      <c r="H32" s="2"/>
      <c r="I32" s="2"/>
      <c r="J32" s="2"/>
      <c r="K32" s="2"/>
      <c r="L32" s="2"/>
      <c r="M32" s="2"/>
      <c r="N32" s="2"/>
      <c r="O32" s="2"/>
      <c r="P32" s="2"/>
    </row>
    <row r="33" spans="1:16">
      <c r="A33" s="2"/>
      <c r="B33" s="848" t="s">
        <v>1</v>
      </c>
      <c r="C33" s="848"/>
      <c r="D33" s="2"/>
      <c r="E33" s="2"/>
      <c r="F33" s="2"/>
      <c r="G33" s="2"/>
      <c r="H33" s="2"/>
      <c r="I33" s="2"/>
      <c r="J33" s="2"/>
      <c r="K33" s="2"/>
      <c r="L33" s="2"/>
      <c r="M33" s="2"/>
      <c r="N33" s="2"/>
      <c r="O33" s="2"/>
      <c r="P33" s="2"/>
    </row>
    <row r="34" spans="1:16">
      <c r="B34" s="2"/>
      <c r="C34" s="2"/>
      <c r="D34" s="2"/>
      <c r="E34" s="2"/>
      <c r="F34" s="2"/>
      <c r="G34" s="2"/>
      <c r="H34" s="2"/>
      <c r="I34" s="2"/>
      <c r="J34" s="2"/>
      <c r="K34" s="2"/>
      <c r="L34" s="2"/>
      <c r="M34" s="2"/>
      <c r="N34" s="2"/>
      <c r="O34" s="2"/>
      <c r="P34" s="2"/>
    </row>
    <row r="35" spans="1:16" ht="15">
      <c r="B35" s="44" t="s">
        <v>1</v>
      </c>
      <c r="C35" s="45" t="s">
        <v>32</v>
      </c>
      <c r="D35" s="46">
        <f>E13/100</f>
        <v>0.06</v>
      </c>
      <c r="E35" s="32"/>
      <c r="F35" s="32" t="s">
        <v>33</v>
      </c>
      <c r="G35" s="21"/>
      <c r="H35" s="21"/>
      <c r="I35" s="2"/>
      <c r="J35" s="2"/>
      <c r="K35" s="2"/>
      <c r="L35" s="2"/>
      <c r="M35" s="2"/>
      <c r="N35" s="2"/>
      <c r="O35" s="2"/>
      <c r="P35" s="2"/>
    </row>
    <row r="36" spans="1:16">
      <c r="B36" s="44" t="s">
        <v>1</v>
      </c>
      <c r="C36" s="44"/>
      <c r="D36" s="44"/>
      <c r="E36" s="44"/>
      <c r="F36" s="44"/>
      <c r="G36" s="2"/>
      <c r="H36" s="2"/>
      <c r="I36" s="2"/>
      <c r="J36" s="2"/>
      <c r="K36" s="2"/>
      <c r="L36" s="2"/>
      <c r="M36" s="2"/>
      <c r="N36" s="2"/>
      <c r="O36" s="2"/>
      <c r="P36" s="2"/>
    </row>
    <row r="37" spans="1:16" ht="15">
      <c r="B37" s="32"/>
      <c r="C37" s="45" t="s">
        <v>34</v>
      </c>
      <c r="D37" s="46">
        <f>E17/100</f>
        <v>8.3099999999999993E-2</v>
      </c>
      <c r="E37" s="32"/>
      <c r="F37" s="32" t="s">
        <v>35</v>
      </c>
      <c r="G37" s="21"/>
      <c r="H37" s="21"/>
      <c r="I37" s="2"/>
      <c r="J37" s="2"/>
      <c r="K37" s="2"/>
      <c r="L37" s="2"/>
      <c r="M37" s="2"/>
      <c r="N37" s="2"/>
      <c r="O37" s="2"/>
      <c r="P37" s="2"/>
    </row>
    <row r="38" spans="1:16" ht="15">
      <c r="B38" s="32"/>
      <c r="C38" s="32"/>
      <c r="D38" s="32"/>
      <c r="E38" s="32"/>
      <c r="F38" s="32"/>
      <c r="G38" s="29"/>
      <c r="H38" s="29"/>
    </row>
    <row r="39" spans="1:16" ht="15">
      <c r="B39" s="32"/>
      <c r="C39" s="45" t="s">
        <v>36</v>
      </c>
      <c r="D39" s="46">
        <f>E23/100</f>
        <v>8.0000000000000002E-3</v>
      </c>
      <c r="E39" s="32"/>
      <c r="F39" s="32" t="s">
        <v>37</v>
      </c>
      <c r="G39" s="32"/>
      <c r="H39" s="32"/>
    </row>
    <row r="40" spans="1:16" ht="15">
      <c r="B40" s="32"/>
      <c r="C40" s="45" t="s">
        <v>1</v>
      </c>
      <c r="D40" s="46" t="s">
        <v>1</v>
      </c>
      <c r="E40" s="32"/>
      <c r="F40" s="32" t="s">
        <v>1</v>
      </c>
      <c r="G40" s="29"/>
      <c r="H40" s="29"/>
    </row>
    <row r="41" spans="1:16" ht="15">
      <c r="B41" s="44"/>
      <c r="C41" s="45" t="s">
        <v>38</v>
      </c>
      <c r="D41" s="46">
        <f>E25/100</f>
        <v>1.2E-2</v>
      </c>
      <c r="E41" s="32"/>
      <c r="F41" s="32" t="s">
        <v>39</v>
      </c>
      <c r="G41" s="29"/>
      <c r="H41" s="2"/>
    </row>
    <row r="42" spans="1:16">
      <c r="B42" s="44"/>
      <c r="C42" s="44"/>
      <c r="D42" s="44"/>
      <c r="E42" s="44"/>
      <c r="F42" s="44"/>
      <c r="G42" s="2"/>
      <c r="H42" s="2"/>
    </row>
    <row r="43" spans="1:16" ht="15">
      <c r="B43" s="44"/>
      <c r="C43" s="45" t="s">
        <v>40</v>
      </c>
      <c r="D43" s="46">
        <f>E27/100</f>
        <v>8.6900000000000005E-2</v>
      </c>
      <c r="E43" s="32"/>
      <c r="F43" s="32" t="s">
        <v>41</v>
      </c>
      <c r="G43" s="29"/>
      <c r="H43" s="2"/>
    </row>
    <row r="44" spans="1:16">
      <c r="B44" s="2"/>
      <c r="C44" s="2"/>
      <c r="D44" s="328"/>
      <c r="E44" s="2"/>
      <c r="F44" s="2"/>
      <c r="G44" s="2"/>
      <c r="H44" s="2"/>
    </row>
    <row r="45" spans="1:16" ht="18">
      <c r="B45" s="47" t="s">
        <v>42</v>
      </c>
      <c r="C45" s="47"/>
      <c r="D45" s="47"/>
      <c r="E45" s="47"/>
      <c r="F45" s="47"/>
      <c r="G45" s="2"/>
      <c r="H45" s="2"/>
    </row>
    <row r="46" spans="1:16" ht="15">
      <c r="B46" s="32" t="s">
        <v>1</v>
      </c>
      <c r="C46" s="32"/>
      <c r="D46" s="32"/>
      <c r="E46" s="32"/>
      <c r="F46" s="32"/>
      <c r="G46" s="32"/>
      <c r="H46" s="2"/>
    </row>
  </sheetData>
  <sheetProtection selectLockedCells="1" selectUnlockedCells="1"/>
  <mergeCells count="7">
    <mergeCell ref="B33:C33"/>
    <mergeCell ref="A1:G5"/>
    <mergeCell ref="A6:G6"/>
    <mergeCell ref="A7:G8"/>
    <mergeCell ref="B10:B11"/>
    <mergeCell ref="C10:C11"/>
    <mergeCell ref="E30:F30"/>
  </mergeCells>
  <phoneticPr fontId="13" type="noConversion"/>
  <pageMargins left="0.78749999999999998" right="0.78749999999999998" top="0.98402777777777772" bottom="0.98402777777777772" header="0.51180555555555551" footer="0.51180555555555551"/>
  <pageSetup paperSize="9" firstPageNumber="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dimension ref="A1:T674"/>
  <sheetViews>
    <sheetView view="pageBreakPreview" zoomScale="110" zoomScaleNormal="110" zoomScaleSheetLayoutView="110" workbookViewId="0">
      <selection sqref="A1:C2"/>
    </sheetView>
  </sheetViews>
  <sheetFormatPr defaultRowHeight="11.25"/>
  <cols>
    <col min="1" max="1" width="15.42578125" style="61" customWidth="1"/>
    <col min="2" max="2" width="13.5703125" style="61" customWidth="1"/>
    <col min="3" max="3" width="18.42578125" style="61" customWidth="1"/>
    <col min="4" max="4" width="15" style="61" customWidth="1"/>
    <col min="5" max="5" width="6.28515625" style="61" customWidth="1"/>
    <col min="6" max="6" width="13.140625" style="61" customWidth="1"/>
    <col min="7" max="7" width="11.140625" style="61" customWidth="1"/>
    <col min="8" max="8" width="10.7109375" style="61" customWidth="1"/>
    <col min="9" max="9" width="9.7109375" style="61" customWidth="1"/>
    <col min="10" max="10" width="11" style="61" customWidth="1"/>
    <col min="11" max="11" width="2.42578125" style="61" customWidth="1"/>
    <col min="12" max="12" width="13.7109375" style="61" customWidth="1"/>
    <col min="13" max="16384" width="9.140625" style="61"/>
  </cols>
  <sheetData>
    <row r="1" spans="1:11" ht="33" customHeight="1">
      <c r="A1" s="914"/>
      <c r="B1" s="915"/>
      <c r="C1" s="916"/>
      <c r="D1" s="895" t="s">
        <v>468</v>
      </c>
      <c r="E1" s="896"/>
      <c r="F1" s="896"/>
      <c r="G1" s="896"/>
      <c r="H1" s="896"/>
      <c r="I1" s="896"/>
      <c r="J1" s="897"/>
    </row>
    <row r="2" spans="1:11" ht="17.25" customHeight="1" thickBot="1">
      <c r="A2" s="917"/>
      <c r="B2" s="918"/>
      <c r="C2" s="919"/>
      <c r="D2" s="898"/>
      <c r="E2" s="899"/>
      <c r="F2" s="899"/>
      <c r="G2" s="899"/>
      <c r="H2" s="899"/>
      <c r="I2" s="899"/>
      <c r="J2" s="900"/>
    </row>
    <row r="3" spans="1:11" ht="26.25" customHeight="1" thickBot="1">
      <c r="A3" s="289" t="s">
        <v>337</v>
      </c>
      <c r="B3" s="901" t="s">
        <v>338</v>
      </c>
      <c r="C3" s="902"/>
      <c r="D3" s="902"/>
      <c r="E3" s="902"/>
      <c r="F3" s="902"/>
      <c r="G3" s="902"/>
      <c r="H3" s="903"/>
      <c r="I3" s="904" t="s">
        <v>339</v>
      </c>
      <c r="J3" s="905"/>
    </row>
    <row r="4" spans="1:11" ht="18" customHeight="1" thickBot="1">
      <c r="A4" s="290" t="s">
        <v>340</v>
      </c>
      <c r="B4" s="906" t="s">
        <v>743</v>
      </c>
      <c r="C4" s="907"/>
      <c r="D4" s="907"/>
      <c r="E4" s="907"/>
      <c r="F4" s="907"/>
      <c r="G4" s="907"/>
      <c r="H4" s="908"/>
      <c r="I4" s="909" t="s">
        <v>713</v>
      </c>
      <c r="J4" s="910"/>
    </row>
    <row r="5" spans="1:11" ht="22.5" customHeight="1" thickBot="1">
      <c r="A5" s="911"/>
      <c r="B5" s="912"/>
      <c r="C5" s="912"/>
      <c r="D5" s="912"/>
      <c r="E5" s="912"/>
      <c r="F5" s="912"/>
      <c r="G5" s="912"/>
      <c r="H5" s="912"/>
      <c r="I5" s="912"/>
      <c r="J5" s="913"/>
    </row>
    <row r="6" spans="1:11" ht="21.75" customHeight="1" thickBot="1">
      <c r="A6" s="930" t="s">
        <v>536</v>
      </c>
      <c r="B6" s="931"/>
      <c r="C6" s="931"/>
      <c r="D6" s="931"/>
      <c r="E6" s="931"/>
      <c r="F6" s="931"/>
      <c r="G6" s="931"/>
      <c r="H6" s="931"/>
      <c r="I6" s="931"/>
      <c r="J6" s="932"/>
      <c r="K6" s="263"/>
    </row>
    <row r="7" spans="1:11" ht="21.75" customHeight="1" thickBot="1">
      <c r="A7" s="923" t="s">
        <v>341</v>
      </c>
      <c r="B7" s="924"/>
      <c r="C7" s="924"/>
      <c r="D7" s="925"/>
      <c r="E7" s="291" t="s">
        <v>117</v>
      </c>
      <c r="F7" s="923" t="s">
        <v>342</v>
      </c>
      <c r="G7" s="924"/>
      <c r="H7" s="924"/>
      <c r="I7" s="924"/>
      <c r="J7" s="925"/>
      <c r="K7"/>
    </row>
    <row r="8" spans="1:11" ht="18" customHeight="1" thickBot="1">
      <c r="A8" s="920" t="s">
        <v>343</v>
      </c>
      <c r="B8" s="921"/>
      <c r="C8" s="921"/>
      <c r="D8" s="922"/>
      <c r="E8" s="292" t="s">
        <v>344</v>
      </c>
      <c r="F8" s="293" t="s">
        <v>345</v>
      </c>
      <c r="G8" s="293" t="s">
        <v>305</v>
      </c>
      <c r="H8" s="292" t="s">
        <v>325</v>
      </c>
      <c r="I8" s="293" t="s">
        <v>306</v>
      </c>
      <c r="J8" s="294" t="s">
        <v>118</v>
      </c>
      <c r="K8"/>
    </row>
    <row r="9" spans="1:11" ht="13.5" customHeight="1">
      <c r="A9" s="892" t="s">
        <v>735</v>
      </c>
      <c r="B9" s="893"/>
      <c r="C9" s="893"/>
      <c r="D9" s="893"/>
      <c r="E9" s="295" t="s">
        <v>344</v>
      </c>
      <c r="F9" s="296">
        <v>48.3</v>
      </c>
      <c r="G9" s="296">
        <v>33.840000000000003</v>
      </c>
      <c r="H9" s="400"/>
      <c r="I9" s="296">
        <v>1</v>
      </c>
      <c r="J9" s="356">
        <f>F9*G9*I9</f>
        <v>1634.47</v>
      </c>
      <c r="K9"/>
    </row>
    <row r="10" spans="1:11" ht="13.5" thickBot="1">
      <c r="A10" s="926"/>
      <c r="B10" s="927"/>
      <c r="C10" s="927"/>
      <c r="D10" s="927"/>
      <c r="E10" s="927"/>
      <c r="F10" s="927"/>
      <c r="G10" s="927"/>
      <c r="H10" s="927"/>
      <c r="I10" s="927"/>
      <c r="J10" s="928"/>
      <c r="K10"/>
    </row>
    <row r="11" spans="1:11" ht="15.75" thickBot="1">
      <c r="A11" s="936" t="s">
        <v>304</v>
      </c>
      <c r="B11" s="937"/>
      <c r="C11" s="937"/>
      <c r="D11" s="938"/>
      <c r="E11" s="292" t="s">
        <v>346</v>
      </c>
      <c r="F11" s="292" t="s">
        <v>347</v>
      </c>
      <c r="G11" s="292" t="s">
        <v>305</v>
      </c>
      <c r="H11" s="292" t="s">
        <v>325</v>
      </c>
      <c r="I11" s="292" t="s">
        <v>306</v>
      </c>
      <c r="J11" s="297" t="s">
        <v>307</v>
      </c>
      <c r="K11" s="298"/>
    </row>
    <row r="12" spans="1:11" ht="12.75">
      <c r="A12" s="892" t="s">
        <v>328</v>
      </c>
      <c r="B12" s="893"/>
      <c r="C12" s="893"/>
      <c r="D12" s="894"/>
      <c r="E12" s="295" t="s">
        <v>346</v>
      </c>
      <c r="F12" s="299">
        <f>31.84+31.84+45.98+45.98</f>
        <v>155.63999999999999</v>
      </c>
      <c r="G12" s="299">
        <v>0.25</v>
      </c>
      <c r="H12" s="299">
        <v>0.2</v>
      </c>
      <c r="I12" s="299">
        <v>1</v>
      </c>
      <c r="J12" s="357">
        <f>F12*G12*H12*I12</f>
        <v>7.78</v>
      </c>
      <c r="K12" s="298"/>
    </row>
    <row r="13" spans="1:11" ht="12.75">
      <c r="A13" s="865" t="s">
        <v>529</v>
      </c>
      <c r="B13" s="874"/>
      <c r="C13" s="874"/>
      <c r="D13" s="875"/>
      <c r="E13" s="300" t="s">
        <v>346</v>
      </c>
      <c r="F13" s="301">
        <f>22.3+22.3+42+42-31.2</f>
        <v>97.4</v>
      </c>
      <c r="G13" s="302">
        <v>0.25</v>
      </c>
      <c r="H13" s="302">
        <v>0.4</v>
      </c>
      <c r="I13" s="302">
        <v>1</v>
      </c>
      <c r="J13" s="358">
        <f>F13*G13*H13*I13</f>
        <v>9.74</v>
      </c>
      <c r="K13" s="303"/>
    </row>
    <row r="14" spans="1:11" ht="12.75">
      <c r="A14" s="865" t="s">
        <v>349</v>
      </c>
      <c r="B14" s="874"/>
      <c r="C14" s="874"/>
      <c r="D14" s="875"/>
      <c r="E14" s="300" t="s">
        <v>346</v>
      </c>
      <c r="F14" s="302">
        <v>0.6</v>
      </c>
      <c r="G14" s="302">
        <v>0.6</v>
      </c>
      <c r="H14" s="302">
        <v>0.85</v>
      </c>
      <c r="I14" s="302">
        <v>50</v>
      </c>
      <c r="J14" s="358">
        <f>F14*G14*H14*I14</f>
        <v>15.3</v>
      </c>
      <c r="K14" s="303"/>
    </row>
    <row r="15" spans="1:11" ht="12.75">
      <c r="A15" s="865" t="s">
        <v>308</v>
      </c>
      <c r="B15" s="874"/>
      <c r="C15" s="874"/>
      <c r="D15" s="875"/>
      <c r="E15" s="300" t="s">
        <v>346</v>
      </c>
      <c r="F15" s="302">
        <f>45+2.2</f>
        <v>47.2</v>
      </c>
      <c r="G15" s="302">
        <v>0.25</v>
      </c>
      <c r="H15" s="302">
        <v>0.4</v>
      </c>
      <c r="I15" s="302">
        <v>2</v>
      </c>
      <c r="J15" s="358">
        <f>F15*G15*H15*I15</f>
        <v>9.44</v>
      </c>
      <c r="K15" s="303"/>
    </row>
    <row r="16" spans="1:11" ht="13.5" thickBot="1">
      <c r="A16" s="939" t="s">
        <v>309</v>
      </c>
      <c r="B16" s="940"/>
      <c r="C16" s="940"/>
      <c r="D16" s="941"/>
      <c r="E16" s="304" t="s">
        <v>346</v>
      </c>
      <c r="F16" s="302">
        <v>0.6</v>
      </c>
      <c r="G16" s="302">
        <v>0.6</v>
      </c>
      <c r="H16" s="302">
        <v>0.4</v>
      </c>
      <c r="I16" s="302">
        <v>6</v>
      </c>
      <c r="J16" s="358">
        <f>F16*G16*I16</f>
        <v>2.16</v>
      </c>
      <c r="K16" s="303"/>
    </row>
    <row r="17" spans="1:11" ht="21" customHeight="1" thickBot="1">
      <c r="A17" s="884" t="s">
        <v>310</v>
      </c>
      <c r="B17" s="885"/>
      <c r="C17" s="885"/>
      <c r="D17" s="885"/>
      <c r="E17" s="885"/>
      <c r="F17" s="885"/>
      <c r="G17" s="885"/>
      <c r="H17" s="885"/>
      <c r="I17" s="886"/>
      <c r="J17" s="392">
        <f>SUM(J12:J16)</f>
        <v>44.42</v>
      </c>
      <c r="K17" s="303"/>
    </row>
    <row r="18" spans="1:11" ht="13.5" thickBot="1">
      <c r="A18" s="933"/>
      <c r="B18" s="934"/>
      <c r="C18" s="934"/>
      <c r="D18" s="934"/>
      <c r="E18" s="934"/>
      <c r="F18" s="934"/>
      <c r="G18" s="934"/>
      <c r="H18" s="934"/>
      <c r="I18" s="934"/>
      <c r="J18" s="935"/>
      <c r="K18" s="312"/>
    </row>
    <row r="19" spans="1:11" ht="13.5" thickBot="1">
      <c r="A19" s="887" t="s">
        <v>719</v>
      </c>
      <c r="B19" s="888"/>
      <c r="C19" s="888"/>
      <c r="D19" s="888"/>
      <c r="E19" s="292" t="s">
        <v>346</v>
      </c>
      <c r="F19" s="292" t="s">
        <v>347</v>
      </c>
      <c r="G19" s="292" t="s">
        <v>305</v>
      </c>
      <c r="H19" s="292" t="s">
        <v>325</v>
      </c>
      <c r="I19" s="292" t="s">
        <v>306</v>
      </c>
      <c r="J19" s="297" t="s">
        <v>307</v>
      </c>
      <c r="K19" s="303"/>
    </row>
    <row r="20" spans="1:11" ht="13.5" thickBot="1">
      <c r="A20" s="892" t="s">
        <v>720</v>
      </c>
      <c r="B20" s="893"/>
      <c r="C20" s="893"/>
      <c r="D20" s="894"/>
      <c r="E20" s="295" t="s">
        <v>346</v>
      </c>
      <c r="F20" s="296">
        <v>48.3</v>
      </c>
      <c r="G20" s="296">
        <v>33.840000000000003</v>
      </c>
      <c r="H20" s="400">
        <v>0.5</v>
      </c>
      <c r="I20" s="296">
        <v>1</v>
      </c>
      <c r="J20" s="356">
        <f>F20*G20*I20*H20</f>
        <v>817.24</v>
      </c>
      <c r="K20" s="303"/>
    </row>
    <row r="21" spans="1:11" ht="21" customHeight="1" thickBot="1">
      <c r="A21" s="884" t="s">
        <v>721</v>
      </c>
      <c r="B21" s="885"/>
      <c r="C21" s="885"/>
      <c r="D21" s="885"/>
      <c r="E21" s="885"/>
      <c r="F21" s="885"/>
      <c r="G21" s="885"/>
      <c r="H21" s="885"/>
      <c r="I21" s="886"/>
      <c r="J21" s="391">
        <f>J20</f>
        <v>817.24</v>
      </c>
      <c r="K21" s="303"/>
    </row>
    <row r="22" spans="1:11" ht="15.75" thickBot="1">
      <c r="A22" s="359"/>
      <c r="B22" s="298"/>
      <c r="C22" s="298"/>
      <c r="D22" s="298"/>
      <c r="E22" s="298"/>
      <c r="F22" s="311"/>
      <c r="G22" s="312"/>
      <c r="H22" s="313"/>
      <c r="I22" s="314"/>
      <c r="J22" s="360"/>
      <c r="K22" s="264"/>
    </row>
    <row r="23" spans="1:11" ht="13.5" thickBot="1">
      <c r="A23" s="887" t="s">
        <v>350</v>
      </c>
      <c r="B23" s="888"/>
      <c r="C23" s="888"/>
      <c r="D23" s="888"/>
      <c r="E23" s="293" t="s">
        <v>346</v>
      </c>
      <c r="F23" s="305" t="s">
        <v>351</v>
      </c>
      <c r="G23" s="293" t="s">
        <v>305</v>
      </c>
      <c r="H23" s="293" t="s">
        <v>325</v>
      </c>
      <c r="I23" s="293" t="s">
        <v>306</v>
      </c>
      <c r="J23" s="294" t="s">
        <v>307</v>
      </c>
      <c r="K23" s="303"/>
    </row>
    <row r="24" spans="1:11" ht="13.5" thickBot="1">
      <c r="A24" s="892" t="s">
        <v>542</v>
      </c>
      <c r="B24" s="893"/>
      <c r="C24" s="893"/>
      <c r="D24" s="894"/>
      <c r="E24" s="295" t="s">
        <v>346</v>
      </c>
      <c r="F24" s="306">
        <f>J17</f>
        <v>44.42</v>
      </c>
      <c r="G24" s="307">
        <f>J65+J83</f>
        <v>31.39</v>
      </c>
      <c r="H24" s="307"/>
      <c r="I24" s="307"/>
      <c r="J24" s="357">
        <f>F24-G24</f>
        <v>13.03</v>
      </c>
      <c r="K24" s="303"/>
    </row>
    <row r="25" spans="1:11" ht="21" customHeight="1" thickBot="1">
      <c r="A25" s="887" t="s">
        <v>352</v>
      </c>
      <c r="B25" s="888"/>
      <c r="C25" s="888"/>
      <c r="D25" s="888"/>
      <c r="E25" s="888"/>
      <c r="F25" s="888"/>
      <c r="G25" s="888"/>
      <c r="H25" s="888"/>
      <c r="I25" s="929"/>
      <c r="J25" s="391">
        <f>SUM(J24:J24)</f>
        <v>13.03</v>
      </c>
      <c r="K25" s="303"/>
    </row>
    <row r="26" spans="1:11" ht="15.75" thickBot="1">
      <c r="A26" s="359"/>
      <c r="B26" s="298"/>
      <c r="C26" s="298"/>
      <c r="D26" s="298"/>
      <c r="E26" s="298"/>
      <c r="F26" s="311"/>
      <c r="G26" s="312"/>
      <c r="H26" s="313"/>
      <c r="I26" s="314"/>
      <c r="J26" s="360"/>
      <c r="K26" s="264"/>
    </row>
    <row r="27" spans="1:11" ht="13.5" thickBot="1">
      <c r="A27" s="887" t="s">
        <v>526</v>
      </c>
      <c r="B27" s="888"/>
      <c r="C27" s="888"/>
      <c r="D27" s="888"/>
      <c r="E27" s="293" t="s">
        <v>344</v>
      </c>
      <c r="F27" s="305" t="s">
        <v>351</v>
      </c>
      <c r="G27" s="293" t="s">
        <v>305</v>
      </c>
      <c r="H27" s="293" t="s">
        <v>325</v>
      </c>
      <c r="I27" s="293" t="s">
        <v>306</v>
      </c>
      <c r="J27" s="294" t="s">
        <v>353</v>
      </c>
      <c r="K27" s="303"/>
    </row>
    <row r="28" spans="1:11" ht="12.75">
      <c r="A28" s="865" t="s">
        <v>311</v>
      </c>
      <c r="B28" s="866"/>
      <c r="C28" s="866"/>
      <c r="D28" s="867"/>
      <c r="E28" s="304" t="s">
        <v>344</v>
      </c>
      <c r="F28" s="308">
        <f>128.6-7.5-4</f>
        <v>117.1</v>
      </c>
      <c r="G28" s="308">
        <v>0.8</v>
      </c>
      <c r="H28" s="308"/>
      <c r="I28" s="315">
        <v>1</v>
      </c>
      <c r="J28" s="361">
        <f>F28*G28*I28</f>
        <v>93.68</v>
      </c>
      <c r="K28" s="303"/>
    </row>
    <row r="29" spans="1:11" ht="12.75">
      <c r="A29" s="865" t="s">
        <v>312</v>
      </c>
      <c r="B29" s="866"/>
      <c r="C29" s="866"/>
      <c r="D29" s="867"/>
      <c r="E29" s="304" t="s">
        <v>344</v>
      </c>
      <c r="F29" s="308">
        <f>15-2.25</f>
        <v>12.75</v>
      </c>
      <c r="G29" s="308">
        <v>0.9</v>
      </c>
      <c r="H29" s="308"/>
      <c r="I29" s="315">
        <v>2</v>
      </c>
      <c r="J29" s="361">
        <f>F29*G29*I29</f>
        <v>22.95</v>
      </c>
      <c r="K29" s="303"/>
    </row>
    <row r="30" spans="1:11" ht="12.75">
      <c r="A30" s="862" t="s">
        <v>312</v>
      </c>
      <c r="B30" s="863"/>
      <c r="C30" s="863"/>
      <c r="D30" s="864"/>
      <c r="E30" s="304" t="s">
        <v>344</v>
      </c>
      <c r="F30" s="308">
        <v>15</v>
      </c>
      <c r="G30" s="308">
        <f>0.45+0.45</f>
        <v>0.9</v>
      </c>
      <c r="H30" s="308"/>
      <c r="I30" s="315">
        <v>2</v>
      </c>
      <c r="J30" s="401">
        <f>F30*G30*I30</f>
        <v>27</v>
      </c>
      <c r="K30" s="303"/>
    </row>
    <row r="31" spans="1:11" ht="12.75">
      <c r="A31" s="862" t="s">
        <v>312</v>
      </c>
      <c r="B31" s="863"/>
      <c r="C31" s="863"/>
      <c r="D31" s="864"/>
      <c r="E31" s="304" t="s">
        <v>344</v>
      </c>
      <c r="F31" s="308">
        <f>15-2.25</f>
        <v>12.75</v>
      </c>
      <c r="G31" s="310">
        <v>0.45</v>
      </c>
      <c r="H31" s="310"/>
      <c r="I31" s="316">
        <v>2</v>
      </c>
      <c r="J31" s="401">
        <f>F31*G31*I31</f>
        <v>11.48</v>
      </c>
      <c r="K31" s="303"/>
    </row>
    <row r="32" spans="1:11" ht="13.5" thickBot="1">
      <c r="A32" s="862" t="s">
        <v>541</v>
      </c>
      <c r="B32" s="863"/>
      <c r="C32" s="863"/>
      <c r="D32" s="864"/>
      <c r="E32" s="304" t="s">
        <v>344</v>
      </c>
      <c r="F32" s="310">
        <v>0.74</v>
      </c>
      <c r="G32" s="310"/>
      <c r="H32" s="310"/>
      <c r="I32" s="316">
        <v>4</v>
      </c>
      <c r="J32" s="402">
        <f>F32*I32</f>
        <v>2.96</v>
      </c>
      <c r="K32" s="303"/>
    </row>
    <row r="33" spans="1:11" ht="22.5" customHeight="1" thickBot="1">
      <c r="A33" s="859" t="s">
        <v>313</v>
      </c>
      <c r="B33" s="860"/>
      <c r="C33" s="860"/>
      <c r="D33" s="860"/>
      <c r="E33" s="860"/>
      <c r="F33" s="860"/>
      <c r="G33" s="860"/>
      <c r="H33" s="860"/>
      <c r="I33" s="861"/>
      <c r="J33" s="393">
        <f>SUM(J28:J32)</f>
        <v>158.07</v>
      </c>
      <c r="K33" s="303"/>
    </row>
    <row r="34" spans="1:11" ht="13.5" thickBot="1">
      <c r="A34" s="359"/>
      <c r="B34" s="298"/>
      <c r="C34" s="298"/>
      <c r="D34" s="298"/>
      <c r="E34" s="298"/>
      <c r="F34" s="311"/>
      <c r="G34" s="311"/>
      <c r="H34" s="311"/>
      <c r="I34" s="298"/>
      <c r="J34" s="360"/>
      <c r="K34" s="303"/>
    </row>
    <row r="35" spans="1:11" ht="26.25" thickBot="1">
      <c r="A35" s="887" t="s">
        <v>354</v>
      </c>
      <c r="B35" s="888"/>
      <c r="C35" s="888"/>
      <c r="D35" s="888"/>
      <c r="E35" s="293" t="s">
        <v>344</v>
      </c>
      <c r="F35" s="305" t="s">
        <v>355</v>
      </c>
      <c r="G35" s="293" t="s">
        <v>305</v>
      </c>
      <c r="H35" s="293" t="s">
        <v>325</v>
      </c>
      <c r="I35" s="293" t="s">
        <v>306</v>
      </c>
      <c r="J35" s="294" t="s">
        <v>353</v>
      </c>
      <c r="K35" s="303"/>
    </row>
    <row r="36" spans="1:11" ht="12.75">
      <c r="A36" s="865" t="s">
        <v>538</v>
      </c>
      <c r="B36" s="866"/>
      <c r="C36" s="866"/>
      <c r="D36" s="867"/>
      <c r="E36" s="304" t="s">
        <v>344</v>
      </c>
      <c r="F36" s="308">
        <f>128.6-4</f>
        <v>124.6</v>
      </c>
      <c r="G36" s="308">
        <v>1.1000000000000001</v>
      </c>
      <c r="H36" s="308"/>
      <c r="I36" s="317">
        <v>2</v>
      </c>
      <c r="J36" s="361">
        <f>F36*G36*I36</f>
        <v>274.12</v>
      </c>
      <c r="K36" s="303"/>
    </row>
    <row r="37" spans="1:11" ht="12.75" customHeight="1">
      <c r="A37" s="865" t="s">
        <v>539</v>
      </c>
      <c r="B37" s="866"/>
      <c r="C37" s="866"/>
      <c r="D37" s="867"/>
      <c r="E37" s="304" t="s">
        <v>344</v>
      </c>
      <c r="F37" s="308">
        <v>15</v>
      </c>
      <c r="G37" s="308">
        <v>0.9</v>
      </c>
      <c r="H37" s="308"/>
      <c r="I37" s="317">
        <v>4</v>
      </c>
      <c r="J37" s="361">
        <f>F37*G37*I37</f>
        <v>54</v>
      </c>
      <c r="K37" s="303"/>
    </row>
    <row r="38" spans="1:11" ht="12.75">
      <c r="A38" s="862" t="s">
        <v>539</v>
      </c>
      <c r="B38" s="863"/>
      <c r="C38" s="863"/>
      <c r="D38" s="864"/>
      <c r="E38" s="304" t="s">
        <v>344</v>
      </c>
      <c r="F38" s="308">
        <v>15</v>
      </c>
      <c r="G38" s="310">
        <f>0.45+0.45</f>
        <v>0.9</v>
      </c>
      <c r="H38" s="310"/>
      <c r="I38" s="302">
        <v>4</v>
      </c>
      <c r="J38" s="362">
        <f>F38*G38*I38</f>
        <v>54</v>
      </c>
      <c r="K38" s="303"/>
    </row>
    <row r="39" spans="1:11" ht="12.75">
      <c r="A39" s="862" t="s">
        <v>539</v>
      </c>
      <c r="B39" s="863"/>
      <c r="C39" s="863"/>
      <c r="D39" s="864"/>
      <c r="E39" s="304" t="s">
        <v>344</v>
      </c>
      <c r="F39" s="310">
        <v>15</v>
      </c>
      <c r="G39" s="310">
        <v>0.45</v>
      </c>
      <c r="H39" s="310"/>
      <c r="I39" s="302">
        <v>4</v>
      </c>
      <c r="J39" s="362">
        <f>F39*G39*I39</f>
        <v>27</v>
      </c>
      <c r="K39" s="303"/>
    </row>
    <row r="40" spans="1:11" ht="12.75">
      <c r="A40" s="862" t="s">
        <v>541</v>
      </c>
      <c r="B40" s="863"/>
      <c r="C40" s="863"/>
      <c r="D40" s="864"/>
      <c r="E40" s="304" t="s">
        <v>344</v>
      </c>
      <c r="F40" s="310">
        <v>0.74</v>
      </c>
      <c r="G40" s="310"/>
      <c r="H40" s="310"/>
      <c r="I40" s="302">
        <v>4</v>
      </c>
      <c r="J40" s="402">
        <f>F40*I40</f>
        <v>2.96</v>
      </c>
      <c r="K40" s="303"/>
    </row>
    <row r="41" spans="1:11" ht="12.75">
      <c r="A41" s="865" t="s">
        <v>328</v>
      </c>
      <c r="B41" s="874"/>
      <c r="C41" s="874"/>
      <c r="D41" s="875"/>
      <c r="E41" s="304" t="s">
        <v>344</v>
      </c>
      <c r="F41" s="310">
        <f>F12</f>
        <v>155.63999999999999</v>
      </c>
      <c r="G41" s="310">
        <v>0.15</v>
      </c>
      <c r="H41" s="310"/>
      <c r="I41" s="302">
        <v>2</v>
      </c>
      <c r="J41" s="362">
        <f>F41*G41*I41</f>
        <v>46.69</v>
      </c>
      <c r="K41" s="303"/>
    </row>
    <row r="42" spans="1:11" ht="12.75">
      <c r="A42" s="865" t="s">
        <v>348</v>
      </c>
      <c r="B42" s="874"/>
      <c r="C42" s="874"/>
      <c r="D42" s="875"/>
      <c r="E42" s="304" t="s">
        <v>344</v>
      </c>
      <c r="F42" s="310">
        <v>128.6</v>
      </c>
      <c r="G42" s="310">
        <v>0.3</v>
      </c>
      <c r="H42" s="310"/>
      <c r="I42" s="302">
        <v>2</v>
      </c>
      <c r="J42" s="362">
        <f>F42*G42*I42</f>
        <v>77.16</v>
      </c>
      <c r="K42" s="303"/>
    </row>
    <row r="43" spans="1:11" ht="12.75">
      <c r="A43" s="865" t="s">
        <v>356</v>
      </c>
      <c r="B43" s="874"/>
      <c r="C43" s="874"/>
      <c r="D43" s="875"/>
      <c r="E43" s="304" t="s">
        <v>344</v>
      </c>
      <c r="F43" s="310">
        <f>F80</f>
        <v>0.2</v>
      </c>
      <c r="G43" s="310"/>
      <c r="H43" s="310"/>
      <c r="I43" s="302">
        <v>50</v>
      </c>
      <c r="J43" s="362">
        <f>F43*I43</f>
        <v>10</v>
      </c>
      <c r="K43" s="303"/>
    </row>
    <row r="44" spans="1:11" ht="12.75">
      <c r="A44" s="865" t="s">
        <v>357</v>
      </c>
      <c r="B44" s="874"/>
      <c r="C44" s="874"/>
      <c r="D44" s="875"/>
      <c r="E44" s="304" t="s">
        <v>344</v>
      </c>
      <c r="F44" s="310">
        <v>45</v>
      </c>
      <c r="G44" s="310">
        <v>0.2</v>
      </c>
      <c r="H44" s="310"/>
      <c r="I44" s="302">
        <v>2</v>
      </c>
      <c r="J44" s="362">
        <f>F44*G44*I44</f>
        <v>18</v>
      </c>
      <c r="K44" s="303"/>
    </row>
    <row r="45" spans="1:11" ht="13.5" thickBot="1">
      <c r="A45" s="889" t="s">
        <v>309</v>
      </c>
      <c r="B45" s="890"/>
      <c r="C45" s="890"/>
      <c r="D45" s="891"/>
      <c r="E45" s="304" t="s">
        <v>344</v>
      </c>
      <c r="F45" s="310">
        <v>2</v>
      </c>
      <c r="G45" s="310">
        <v>0.3</v>
      </c>
      <c r="H45" s="310"/>
      <c r="I45" s="302">
        <v>6</v>
      </c>
      <c r="J45" s="362">
        <f>F45*G45*I45</f>
        <v>3.6</v>
      </c>
      <c r="K45" s="303"/>
    </row>
    <row r="46" spans="1:11" ht="21" customHeight="1" thickBot="1">
      <c r="A46" s="859" t="s">
        <v>358</v>
      </c>
      <c r="B46" s="860"/>
      <c r="C46" s="860"/>
      <c r="D46" s="860"/>
      <c r="E46" s="860"/>
      <c r="F46" s="860"/>
      <c r="G46" s="860"/>
      <c r="H46" s="860"/>
      <c r="I46" s="861"/>
      <c r="J46" s="393">
        <f>SUM(J36:J45)</f>
        <v>567.53</v>
      </c>
      <c r="K46" s="303"/>
    </row>
    <row r="47" spans="1:11" ht="15.75" thickBot="1">
      <c r="A47" s="363"/>
      <c r="B47" s="318"/>
      <c r="C47" s="318"/>
      <c r="D47" s="318"/>
      <c r="E47" s="318"/>
      <c r="F47" s="318"/>
      <c r="G47" s="318"/>
      <c r="H47" s="318"/>
      <c r="I47" s="318"/>
      <c r="J47" s="364"/>
      <c r="K47" s="303"/>
    </row>
    <row r="48" spans="1:11" ht="13.5" thickBot="1">
      <c r="A48" s="887" t="s">
        <v>359</v>
      </c>
      <c r="B48" s="888"/>
      <c r="C48" s="888"/>
      <c r="D48" s="888"/>
      <c r="E48" s="293" t="s">
        <v>344</v>
      </c>
      <c r="F48" s="305" t="s">
        <v>351</v>
      </c>
      <c r="G48" s="293" t="s">
        <v>305</v>
      </c>
      <c r="H48" s="293" t="s">
        <v>325</v>
      </c>
      <c r="I48" s="293" t="s">
        <v>306</v>
      </c>
      <c r="J48" s="294" t="s">
        <v>353</v>
      </c>
      <c r="K48" s="303"/>
    </row>
    <row r="49" spans="1:20" ht="12.75">
      <c r="A49" s="865" t="s">
        <v>540</v>
      </c>
      <c r="B49" s="866"/>
      <c r="C49" s="866"/>
      <c r="D49" s="867"/>
      <c r="E49" s="304" t="s">
        <v>344</v>
      </c>
      <c r="F49" s="308">
        <f>F36</f>
        <v>124.6</v>
      </c>
      <c r="G49" s="308">
        <f>G36</f>
        <v>1.1000000000000001</v>
      </c>
      <c r="H49" s="308"/>
      <c r="I49" s="317">
        <v>2</v>
      </c>
      <c r="J49" s="361">
        <f>F49*G49*I49</f>
        <v>274.12</v>
      </c>
      <c r="K49" s="303"/>
    </row>
    <row r="50" spans="1:20" ht="12.75">
      <c r="A50" s="865" t="s">
        <v>539</v>
      </c>
      <c r="B50" s="866"/>
      <c r="C50" s="866"/>
      <c r="D50" s="867"/>
      <c r="E50" s="304" t="s">
        <v>344</v>
      </c>
      <c r="F50" s="308">
        <v>15</v>
      </c>
      <c r="G50" s="308">
        <v>0.9</v>
      </c>
      <c r="H50" s="308"/>
      <c r="I50" s="317">
        <v>2</v>
      </c>
      <c r="J50" s="361">
        <f>F50*G50*I50</f>
        <v>27</v>
      </c>
      <c r="K50" s="303"/>
    </row>
    <row r="51" spans="1:20" ht="12.75">
      <c r="A51" s="862" t="s">
        <v>539</v>
      </c>
      <c r="B51" s="863"/>
      <c r="C51" s="863"/>
      <c r="D51" s="864"/>
      <c r="E51" s="304" t="s">
        <v>344</v>
      </c>
      <c r="F51" s="308">
        <v>15</v>
      </c>
      <c r="G51" s="308">
        <f>0.45+0.45</f>
        <v>0.9</v>
      </c>
      <c r="H51" s="310"/>
      <c r="I51" s="302">
        <v>2</v>
      </c>
      <c r="J51" s="362">
        <f>F51*G51*I51</f>
        <v>27</v>
      </c>
      <c r="K51" s="303"/>
    </row>
    <row r="52" spans="1:20" ht="12.75">
      <c r="A52" s="862" t="s">
        <v>539</v>
      </c>
      <c r="B52" s="863"/>
      <c r="C52" s="863"/>
      <c r="D52" s="864"/>
      <c r="E52" s="304" t="s">
        <v>344</v>
      </c>
      <c r="F52" s="310">
        <v>15</v>
      </c>
      <c r="G52" s="310">
        <v>0.45</v>
      </c>
      <c r="H52" s="310"/>
      <c r="I52" s="302">
        <v>2</v>
      </c>
      <c r="J52" s="362">
        <f>F52*G52*I52</f>
        <v>13.5</v>
      </c>
      <c r="K52" s="303"/>
    </row>
    <row r="53" spans="1:20" ht="13.5" thickBot="1">
      <c r="A53" s="862" t="s">
        <v>541</v>
      </c>
      <c r="B53" s="863"/>
      <c r="C53" s="863"/>
      <c r="D53" s="864"/>
      <c r="E53" s="304" t="s">
        <v>344</v>
      </c>
      <c r="F53" s="310">
        <v>0.74</v>
      </c>
      <c r="G53" s="310"/>
      <c r="H53" s="310"/>
      <c r="I53" s="316">
        <v>4</v>
      </c>
      <c r="J53" s="402">
        <f>F53*I53</f>
        <v>2.96</v>
      </c>
      <c r="K53" s="303"/>
    </row>
    <row r="54" spans="1:20" ht="21" customHeight="1" thickBot="1">
      <c r="A54" s="859" t="s">
        <v>360</v>
      </c>
      <c r="B54" s="860"/>
      <c r="C54" s="860"/>
      <c r="D54" s="860"/>
      <c r="E54" s="860"/>
      <c r="F54" s="860"/>
      <c r="G54" s="860"/>
      <c r="H54" s="860"/>
      <c r="I54" s="861"/>
      <c r="J54" s="393">
        <f>SUM(J49:J53)</f>
        <v>344.58</v>
      </c>
      <c r="K54" s="303"/>
    </row>
    <row r="55" spans="1:20" ht="15.75" thickBot="1">
      <c r="A55" s="363"/>
      <c r="B55" s="318"/>
      <c r="C55" s="318"/>
      <c r="D55" s="318"/>
      <c r="E55" s="318"/>
      <c r="F55" s="318"/>
      <c r="G55" s="318"/>
      <c r="H55" s="318"/>
      <c r="I55" s="318"/>
      <c r="J55" s="364"/>
      <c r="K55" s="303"/>
    </row>
    <row r="56" spans="1:20" ht="13.5" thickBot="1">
      <c r="A56" s="868" t="s">
        <v>361</v>
      </c>
      <c r="B56" s="869"/>
      <c r="C56" s="869"/>
      <c r="D56" s="869"/>
      <c r="E56" s="293" t="s">
        <v>346</v>
      </c>
      <c r="F56" s="305" t="s">
        <v>351</v>
      </c>
      <c r="G56" s="293" t="s">
        <v>305</v>
      </c>
      <c r="H56" s="293" t="s">
        <v>325</v>
      </c>
      <c r="I56" s="293" t="s">
        <v>306</v>
      </c>
      <c r="J56" s="294" t="s">
        <v>307</v>
      </c>
      <c r="K56" s="303"/>
    </row>
    <row r="57" spans="1:20" ht="12.75">
      <c r="A57" s="892" t="s">
        <v>314</v>
      </c>
      <c r="B57" s="944"/>
      <c r="C57" s="944"/>
      <c r="D57" s="945"/>
      <c r="E57" s="319" t="s">
        <v>346</v>
      </c>
      <c r="F57" s="320">
        <v>42</v>
      </c>
      <c r="G57" s="320">
        <v>22</v>
      </c>
      <c r="H57" s="320">
        <v>0.05</v>
      </c>
      <c r="I57" s="320">
        <v>1</v>
      </c>
      <c r="J57" s="365">
        <f>F57*G57*H57*I57</f>
        <v>46.2</v>
      </c>
      <c r="K57" s="303"/>
    </row>
    <row r="58" spans="1:20" ht="13.5" thickBot="1">
      <c r="A58" s="359"/>
      <c r="B58" s="298"/>
      <c r="C58" s="298"/>
      <c r="D58" s="298"/>
      <c r="E58" s="298"/>
      <c r="F58" s="311"/>
      <c r="G58" s="312"/>
      <c r="H58" s="311"/>
      <c r="I58" s="298"/>
      <c r="J58" s="360"/>
      <c r="K58" s="303"/>
    </row>
    <row r="59" spans="1:20" ht="13.5" thickBot="1">
      <c r="A59" s="868" t="s">
        <v>447</v>
      </c>
      <c r="B59" s="869"/>
      <c r="C59" s="869"/>
      <c r="D59" s="869"/>
      <c r="E59" s="293" t="s">
        <v>346</v>
      </c>
      <c r="F59" s="305" t="s">
        <v>351</v>
      </c>
      <c r="G59" s="293" t="s">
        <v>305</v>
      </c>
      <c r="H59" s="293" t="s">
        <v>325</v>
      </c>
      <c r="I59" s="293" t="s">
        <v>306</v>
      </c>
      <c r="J59" s="294" t="s">
        <v>307</v>
      </c>
      <c r="K59" s="303"/>
      <c r="L59" s="62"/>
      <c r="M59" s="62"/>
      <c r="N59" s="62"/>
      <c r="O59" s="62"/>
      <c r="P59" s="62"/>
      <c r="Q59" s="62"/>
      <c r="R59" s="62"/>
      <c r="S59" s="62"/>
      <c r="T59" s="62"/>
    </row>
    <row r="60" spans="1:20" ht="12.75">
      <c r="A60" s="892" t="s">
        <v>328</v>
      </c>
      <c r="B60" s="893"/>
      <c r="C60" s="893"/>
      <c r="D60" s="894"/>
      <c r="E60" s="295" t="s">
        <v>346</v>
      </c>
      <c r="F60" s="320">
        <v>155.63999999999999</v>
      </c>
      <c r="G60" s="320">
        <v>0.25</v>
      </c>
      <c r="H60" s="320">
        <v>0.05</v>
      </c>
      <c r="I60" s="320">
        <v>1</v>
      </c>
      <c r="J60" s="366">
        <f>F60*G60*H60*I60</f>
        <v>1.95</v>
      </c>
      <c r="K60" s="303"/>
      <c r="L60" s="872"/>
      <c r="M60" s="873"/>
      <c r="N60" s="873"/>
      <c r="O60" s="873"/>
      <c r="P60" s="268"/>
      <c r="Q60" s="268"/>
      <c r="R60" s="268"/>
      <c r="S60" s="268"/>
      <c r="T60" s="62"/>
    </row>
    <row r="61" spans="1:20" ht="12.75">
      <c r="A61" s="865" t="s">
        <v>530</v>
      </c>
      <c r="B61" s="874"/>
      <c r="C61" s="874"/>
      <c r="D61" s="875"/>
      <c r="E61" s="300" t="s">
        <v>346</v>
      </c>
      <c r="F61" s="317">
        <f>128.6-7.5</f>
        <v>121.1</v>
      </c>
      <c r="G61" s="317">
        <v>0.25</v>
      </c>
      <c r="H61" s="317">
        <v>0.05</v>
      </c>
      <c r="I61" s="317">
        <v>1</v>
      </c>
      <c r="J61" s="330">
        <f>F61*G61*H61*I61</f>
        <v>1.51</v>
      </c>
      <c r="K61" s="303"/>
      <c r="L61" s="876" t="s">
        <v>548</v>
      </c>
      <c r="M61" s="877"/>
      <c r="N61" s="877"/>
      <c r="O61" s="877"/>
      <c r="P61" s="268"/>
      <c r="Q61" s="268"/>
      <c r="R61" s="268"/>
      <c r="S61" s="268"/>
      <c r="T61" s="62"/>
    </row>
    <row r="62" spans="1:20" ht="12.75" customHeight="1">
      <c r="A62" s="865" t="s">
        <v>356</v>
      </c>
      <c r="B62" s="874"/>
      <c r="C62" s="874"/>
      <c r="D62" s="875"/>
      <c r="E62" s="300" t="s">
        <v>346</v>
      </c>
      <c r="F62" s="317">
        <v>0.6</v>
      </c>
      <c r="G62" s="317">
        <v>0.6</v>
      </c>
      <c r="H62" s="317">
        <v>0.05</v>
      </c>
      <c r="I62" s="317">
        <v>50</v>
      </c>
      <c r="J62" s="330">
        <f>F62*G62*H62*I62</f>
        <v>0.9</v>
      </c>
      <c r="K62" s="303"/>
      <c r="P62" s="268"/>
      <c r="Q62" s="268"/>
      <c r="R62" s="268"/>
      <c r="S62" s="268"/>
      <c r="T62" s="62"/>
    </row>
    <row r="63" spans="1:20" ht="12.75">
      <c r="A63" s="865" t="s">
        <v>308</v>
      </c>
      <c r="B63" s="874"/>
      <c r="C63" s="874"/>
      <c r="D63" s="875"/>
      <c r="E63" s="300" t="s">
        <v>346</v>
      </c>
      <c r="F63" s="317">
        <f>45+2.2</f>
        <v>47.2</v>
      </c>
      <c r="G63" s="317">
        <v>0.25</v>
      </c>
      <c r="H63" s="317">
        <v>0.05</v>
      </c>
      <c r="I63" s="317">
        <v>2</v>
      </c>
      <c r="J63" s="330">
        <f>F63*G63*H63*I63</f>
        <v>1.18</v>
      </c>
      <c r="K63" s="303"/>
      <c r="L63" s="872"/>
      <c r="M63" s="873"/>
      <c r="N63" s="873"/>
      <c r="O63" s="873"/>
      <c r="P63" s="268"/>
      <c r="Q63" s="268"/>
      <c r="R63" s="268"/>
      <c r="S63" s="268"/>
      <c r="T63" s="62"/>
    </row>
    <row r="64" spans="1:20" ht="13.5" thickBot="1">
      <c r="A64" s="889" t="s">
        <v>537</v>
      </c>
      <c r="B64" s="946"/>
      <c r="C64" s="946"/>
      <c r="D64" s="947"/>
      <c r="E64" s="300" t="s">
        <v>346</v>
      </c>
      <c r="F64" s="317">
        <v>0.5</v>
      </c>
      <c r="G64" s="317">
        <v>0.5</v>
      </c>
      <c r="H64" s="317">
        <v>0.4</v>
      </c>
      <c r="I64" s="317">
        <v>6</v>
      </c>
      <c r="J64" s="330">
        <f>F64*G64*H64*I64</f>
        <v>0.6</v>
      </c>
      <c r="K64" s="303"/>
      <c r="L64" s="872"/>
      <c r="M64" s="873"/>
      <c r="N64" s="873"/>
      <c r="O64" s="873"/>
      <c r="P64" s="268"/>
      <c r="Q64" s="268"/>
      <c r="R64" s="268"/>
      <c r="S64" s="268"/>
      <c r="T64" s="62"/>
    </row>
    <row r="65" spans="1:14" ht="21" customHeight="1" thickBot="1">
      <c r="A65" s="859" t="s">
        <v>362</v>
      </c>
      <c r="B65" s="860"/>
      <c r="C65" s="860"/>
      <c r="D65" s="860"/>
      <c r="E65" s="860"/>
      <c r="F65" s="860"/>
      <c r="G65" s="860"/>
      <c r="H65" s="860"/>
      <c r="I65" s="861"/>
      <c r="J65" s="393">
        <f>SUM(J60:J64)</f>
        <v>6.14</v>
      </c>
      <c r="K65" s="303"/>
    </row>
    <row r="66" spans="1:14" ht="13.5" thickBot="1">
      <c r="A66" s="359"/>
      <c r="B66" s="298"/>
      <c r="C66" s="298"/>
      <c r="D66" s="298"/>
      <c r="E66" s="298"/>
      <c r="F66" s="311"/>
      <c r="G66" s="312"/>
      <c r="H66" s="311"/>
      <c r="I66" s="298"/>
      <c r="J66" s="360"/>
      <c r="K66" s="303"/>
    </row>
    <row r="67" spans="1:14" ht="13.5" thickBot="1">
      <c r="A67" s="868" t="s">
        <v>524</v>
      </c>
      <c r="B67" s="869"/>
      <c r="C67" s="869"/>
      <c r="D67" s="869"/>
      <c r="E67" s="293" t="s">
        <v>344</v>
      </c>
      <c r="F67" s="305" t="s">
        <v>351</v>
      </c>
      <c r="G67" s="293" t="s">
        <v>305</v>
      </c>
      <c r="H67" s="293" t="s">
        <v>325</v>
      </c>
      <c r="I67" s="293" t="s">
        <v>306</v>
      </c>
      <c r="J67" s="294" t="s">
        <v>353</v>
      </c>
      <c r="K67" s="303"/>
    </row>
    <row r="68" spans="1:14" ht="13.5" thickBot="1">
      <c r="A68" s="865" t="s">
        <v>455</v>
      </c>
      <c r="B68" s="866"/>
      <c r="C68" s="866"/>
      <c r="D68" s="867"/>
      <c r="E68" s="295" t="s">
        <v>344</v>
      </c>
      <c r="F68" s="317">
        <v>42</v>
      </c>
      <c r="G68" s="317">
        <v>22</v>
      </c>
      <c r="H68" s="317"/>
      <c r="I68" s="317">
        <v>1</v>
      </c>
      <c r="J68" s="361">
        <f>F68*G68*I68</f>
        <v>924</v>
      </c>
      <c r="K68" s="303"/>
    </row>
    <row r="69" spans="1:14" ht="21" customHeight="1" thickBot="1">
      <c r="A69" s="859" t="s">
        <v>525</v>
      </c>
      <c r="B69" s="860"/>
      <c r="C69" s="860"/>
      <c r="D69" s="860"/>
      <c r="E69" s="860"/>
      <c r="F69" s="860"/>
      <c r="G69" s="860"/>
      <c r="H69" s="860"/>
      <c r="I69" s="861"/>
      <c r="J69" s="393">
        <f>SUM(J68)</f>
        <v>924</v>
      </c>
      <c r="K69" s="303"/>
    </row>
    <row r="70" spans="1:14" ht="15.75" thickBot="1">
      <c r="A70" s="318"/>
      <c r="B70" s="318"/>
      <c r="C70" s="318"/>
      <c r="D70" s="318"/>
      <c r="E70" s="318"/>
      <c r="F70" s="318"/>
      <c r="G70" s="318"/>
      <c r="H70" s="318"/>
      <c r="I70" s="318"/>
      <c r="J70" s="403"/>
      <c r="K70" s="303"/>
    </row>
    <row r="71" spans="1:14" ht="13.5" thickBot="1">
      <c r="A71" s="942" t="s">
        <v>508</v>
      </c>
      <c r="B71" s="943"/>
      <c r="C71" s="943"/>
      <c r="D71" s="943"/>
      <c r="E71" s="370" t="s">
        <v>344</v>
      </c>
      <c r="F71" s="371" t="s">
        <v>351</v>
      </c>
      <c r="G71" s="370" t="s">
        <v>305</v>
      </c>
      <c r="H71" s="370" t="s">
        <v>325</v>
      </c>
      <c r="I71" s="370" t="s">
        <v>306</v>
      </c>
      <c r="J71" s="372" t="s">
        <v>353</v>
      </c>
      <c r="K71" s="303"/>
    </row>
    <row r="72" spans="1:14" ht="12.75">
      <c r="A72" s="878" t="s">
        <v>504</v>
      </c>
      <c r="B72" s="879"/>
      <c r="C72" s="879"/>
      <c r="D72" s="880"/>
      <c r="E72" s="405" t="s">
        <v>344</v>
      </c>
      <c r="F72" s="406">
        <v>42</v>
      </c>
      <c r="G72" s="406">
        <v>22</v>
      </c>
      <c r="H72" s="406"/>
      <c r="I72" s="406">
        <v>1</v>
      </c>
      <c r="J72" s="407">
        <f>F72*G72*I72</f>
        <v>924</v>
      </c>
      <c r="K72" s="303"/>
    </row>
    <row r="73" spans="1:14" ht="20.25" customHeight="1" thickBot="1">
      <c r="A73" s="881" t="s">
        <v>509</v>
      </c>
      <c r="B73" s="882"/>
      <c r="C73" s="882"/>
      <c r="D73" s="882"/>
      <c r="E73" s="882"/>
      <c r="F73" s="882"/>
      <c r="G73" s="882"/>
      <c r="H73" s="882"/>
      <c r="I73" s="883"/>
      <c r="J73" s="404">
        <f>SUM(J72)</f>
        <v>924</v>
      </c>
      <c r="K73" s="303"/>
    </row>
    <row r="74" spans="1:14" ht="15.75" thickBot="1">
      <c r="A74" s="363"/>
      <c r="B74" s="318"/>
      <c r="C74" s="318"/>
      <c r="D74" s="318"/>
      <c r="E74" s="318"/>
      <c r="F74" s="318"/>
      <c r="G74" s="318"/>
      <c r="H74" s="318"/>
      <c r="I74" s="318"/>
      <c r="J74" s="364"/>
      <c r="K74" s="303"/>
      <c r="N74" s="61">
        <f>J83+J65</f>
        <v>31.39</v>
      </c>
    </row>
    <row r="75" spans="1:14" ht="13.5" thickBot="1">
      <c r="A75" s="868" t="s">
        <v>523</v>
      </c>
      <c r="B75" s="869"/>
      <c r="C75" s="869"/>
      <c r="D75" s="869"/>
      <c r="E75" s="293" t="s">
        <v>346</v>
      </c>
      <c r="F75" s="305" t="s">
        <v>351</v>
      </c>
      <c r="G75" s="293" t="s">
        <v>305</v>
      </c>
      <c r="H75" s="293" t="s">
        <v>325</v>
      </c>
      <c r="I75" s="293" t="s">
        <v>306</v>
      </c>
      <c r="J75" s="294" t="s">
        <v>307</v>
      </c>
      <c r="K75" s="303"/>
    </row>
    <row r="76" spans="1:14" ht="12.75">
      <c r="A76" s="865" t="s">
        <v>315</v>
      </c>
      <c r="B76" s="874"/>
      <c r="C76" s="874"/>
      <c r="D76" s="875"/>
      <c r="E76" s="300" t="s">
        <v>346</v>
      </c>
      <c r="F76" s="317">
        <v>0.15</v>
      </c>
      <c r="G76" s="317">
        <v>0.15</v>
      </c>
      <c r="H76" s="317">
        <v>0.45</v>
      </c>
      <c r="I76" s="317">
        <f>6*2</f>
        <v>12</v>
      </c>
      <c r="J76" s="361">
        <f>F76*G76*H76*I76</f>
        <v>0.12</v>
      </c>
      <c r="K76" s="303"/>
      <c r="L76" s="61" t="s">
        <v>519</v>
      </c>
    </row>
    <row r="77" spans="1:14" ht="12.75">
      <c r="A77" s="865" t="s">
        <v>315</v>
      </c>
      <c r="B77" s="874"/>
      <c r="C77" s="874"/>
      <c r="D77" s="875"/>
      <c r="E77" s="300" t="s">
        <v>346</v>
      </c>
      <c r="F77" s="317">
        <v>0.15</v>
      </c>
      <c r="G77" s="317">
        <v>0.15</v>
      </c>
      <c r="H77" s="317">
        <v>0.9</v>
      </c>
      <c r="I77" s="317">
        <f>6*2</f>
        <v>12</v>
      </c>
      <c r="J77" s="361">
        <f t="shared" ref="J77:J82" si="0">F77*G77*H77*I77</f>
        <v>0.24</v>
      </c>
      <c r="K77" s="303"/>
    </row>
    <row r="78" spans="1:14" ht="12.75">
      <c r="A78" s="865" t="s">
        <v>328</v>
      </c>
      <c r="B78" s="874"/>
      <c r="C78" s="874"/>
      <c r="D78" s="875"/>
      <c r="E78" s="300" t="s">
        <v>346</v>
      </c>
      <c r="F78" s="317">
        <f>F60</f>
        <v>155.63999999999999</v>
      </c>
      <c r="G78" s="317">
        <v>0.15</v>
      </c>
      <c r="H78" s="317">
        <v>0.15</v>
      </c>
      <c r="I78" s="317">
        <v>1</v>
      </c>
      <c r="J78" s="361">
        <f t="shared" si="0"/>
        <v>3.5</v>
      </c>
      <c r="K78" s="303"/>
    </row>
    <row r="79" spans="1:14" ht="12.75">
      <c r="A79" s="865" t="s">
        <v>530</v>
      </c>
      <c r="B79" s="874"/>
      <c r="C79" s="874"/>
      <c r="D79" s="875"/>
      <c r="E79" s="300" t="s">
        <v>346</v>
      </c>
      <c r="F79" s="317">
        <f>F61</f>
        <v>121.1</v>
      </c>
      <c r="G79" s="317">
        <v>0.15</v>
      </c>
      <c r="H79" s="317">
        <v>0.3</v>
      </c>
      <c r="I79" s="317">
        <v>2</v>
      </c>
      <c r="J79" s="361">
        <f t="shared" si="0"/>
        <v>10.9</v>
      </c>
      <c r="K79" s="303"/>
      <c r="L79" s="61" t="s">
        <v>520</v>
      </c>
    </row>
    <row r="80" spans="1:14" ht="12.75">
      <c r="A80" s="865" t="s">
        <v>356</v>
      </c>
      <c r="B80" s="874"/>
      <c r="C80" s="874"/>
      <c r="D80" s="875"/>
      <c r="E80" s="304" t="s">
        <v>346</v>
      </c>
      <c r="F80" s="317">
        <v>0.2</v>
      </c>
      <c r="G80" s="317"/>
      <c r="H80" s="317">
        <v>0.5</v>
      </c>
      <c r="I80" s="317">
        <v>50</v>
      </c>
      <c r="J80" s="361">
        <f>F80*H80*I80</f>
        <v>5</v>
      </c>
      <c r="K80" s="303"/>
    </row>
    <row r="81" spans="1:12" ht="12.75">
      <c r="A81" s="865" t="s">
        <v>363</v>
      </c>
      <c r="B81" s="874"/>
      <c r="C81" s="874"/>
      <c r="D81" s="875"/>
      <c r="E81" s="304" t="s">
        <v>346</v>
      </c>
      <c r="F81" s="317">
        <v>0.15</v>
      </c>
      <c r="G81" s="317">
        <v>0.15</v>
      </c>
      <c r="H81" s="317">
        <v>1.1000000000000001</v>
      </c>
      <c r="I81" s="317">
        <v>50</v>
      </c>
      <c r="J81" s="361">
        <f>F81*G81*H81*I81</f>
        <v>1.24</v>
      </c>
      <c r="K81" s="303"/>
    </row>
    <row r="82" spans="1:12" ht="13.5" thickBot="1">
      <c r="A82" s="865" t="s">
        <v>357</v>
      </c>
      <c r="B82" s="874"/>
      <c r="C82" s="874"/>
      <c r="D82" s="875"/>
      <c r="E82" s="304" t="s">
        <v>346</v>
      </c>
      <c r="F82" s="317">
        <f>45+2.2</f>
        <v>47.2</v>
      </c>
      <c r="G82" s="317">
        <v>0.15</v>
      </c>
      <c r="H82" s="317">
        <v>0.3</v>
      </c>
      <c r="I82" s="317">
        <v>2</v>
      </c>
      <c r="J82" s="361">
        <f t="shared" si="0"/>
        <v>4.25</v>
      </c>
      <c r="K82" s="303"/>
    </row>
    <row r="83" spans="1:12" ht="21" customHeight="1" thickBot="1">
      <c r="A83" s="859" t="s">
        <v>364</v>
      </c>
      <c r="B83" s="860"/>
      <c r="C83" s="860"/>
      <c r="D83" s="860"/>
      <c r="E83" s="860"/>
      <c r="F83" s="860"/>
      <c r="G83" s="860"/>
      <c r="H83" s="860"/>
      <c r="I83" s="861"/>
      <c r="J83" s="393">
        <f>SUM(J76:J82)</f>
        <v>25.25</v>
      </c>
      <c r="K83" s="303"/>
    </row>
    <row r="84" spans="1:12" ht="15.75" thickBot="1">
      <c r="A84" s="359"/>
      <c r="B84" s="298"/>
      <c r="C84" s="298"/>
      <c r="D84" s="298"/>
      <c r="E84" s="298"/>
      <c r="F84" s="311"/>
      <c r="G84" s="312"/>
      <c r="H84" s="311"/>
      <c r="I84" s="298"/>
      <c r="J84" s="360"/>
      <c r="K84" s="264"/>
    </row>
    <row r="85" spans="1:12" ht="15.75" thickBot="1">
      <c r="A85" s="942" t="s">
        <v>511</v>
      </c>
      <c r="B85" s="943"/>
      <c r="C85" s="943"/>
      <c r="D85" s="943"/>
      <c r="E85" s="370" t="s">
        <v>346</v>
      </c>
      <c r="F85" s="371" t="s">
        <v>353</v>
      </c>
      <c r="G85" s="370" t="s">
        <v>305</v>
      </c>
      <c r="H85" s="370" t="s">
        <v>456</v>
      </c>
      <c r="I85" s="370" t="s">
        <v>306</v>
      </c>
      <c r="J85" s="372" t="s">
        <v>307</v>
      </c>
      <c r="K85" s="264"/>
    </row>
    <row r="86" spans="1:12" ht="28.5" customHeight="1" thickBot="1">
      <c r="A86" s="948" t="s">
        <v>552</v>
      </c>
      <c r="B86" s="949"/>
      <c r="C86" s="949"/>
      <c r="D86" s="950"/>
      <c r="E86" s="380" t="s">
        <v>346</v>
      </c>
      <c r="F86" s="381">
        <v>515.58000000000004</v>
      </c>
      <c r="G86" s="381"/>
      <c r="H86" s="381">
        <v>33</v>
      </c>
      <c r="I86" s="381">
        <v>0.04</v>
      </c>
      <c r="J86" s="382">
        <f>(F86-H86)*I86</f>
        <v>19.3</v>
      </c>
      <c r="K86" s="303"/>
      <c r="L86" s="61">
        <f>F86-H86</f>
        <v>482.58</v>
      </c>
    </row>
    <row r="87" spans="1:12" ht="15.75" thickBot="1">
      <c r="A87" s="359"/>
      <c r="B87" s="298"/>
      <c r="C87" s="298"/>
      <c r="D87" s="298"/>
      <c r="E87" s="298"/>
      <c r="F87" s="311"/>
      <c r="G87" s="312"/>
      <c r="H87" s="311"/>
      <c r="I87" s="298"/>
      <c r="J87" s="360"/>
      <c r="K87" s="264"/>
    </row>
    <row r="88" spans="1:12" ht="15.75" thickBot="1">
      <c r="A88" s="868" t="s">
        <v>365</v>
      </c>
      <c r="B88" s="869"/>
      <c r="C88" s="869"/>
      <c r="D88" s="869"/>
      <c r="E88" s="293" t="s">
        <v>344</v>
      </c>
      <c r="F88" s="305" t="s">
        <v>351</v>
      </c>
      <c r="G88" s="293" t="s">
        <v>305</v>
      </c>
      <c r="H88" s="293" t="s">
        <v>325</v>
      </c>
      <c r="I88" s="293" t="s">
        <v>306</v>
      </c>
      <c r="J88" s="294" t="s">
        <v>353</v>
      </c>
      <c r="K88" s="264"/>
    </row>
    <row r="89" spans="1:12" ht="12.75">
      <c r="A89" s="865" t="s">
        <v>316</v>
      </c>
      <c r="B89" s="866"/>
      <c r="C89" s="866"/>
      <c r="D89" s="867"/>
      <c r="E89" s="319" t="s">
        <v>344</v>
      </c>
      <c r="F89" s="317">
        <v>15</v>
      </c>
      <c r="G89" s="309">
        <v>1.1000000000000001</v>
      </c>
      <c r="H89" s="317"/>
      <c r="I89" s="317">
        <v>2</v>
      </c>
      <c r="J89" s="330">
        <f>F89*G89*I89</f>
        <v>33</v>
      </c>
      <c r="K89" s="303"/>
    </row>
    <row r="90" spans="1:12" ht="12.75" customHeight="1" thickBot="1">
      <c r="A90" s="951"/>
      <c r="B90" s="952"/>
      <c r="C90" s="952"/>
      <c r="D90" s="952"/>
      <c r="E90" s="953"/>
      <c r="F90" s="952"/>
      <c r="G90" s="952"/>
      <c r="H90" s="952"/>
      <c r="I90" s="952"/>
      <c r="J90" s="954"/>
      <c r="K90" s="264"/>
    </row>
    <row r="91" spans="1:12" ht="15.75" thickBot="1">
      <c r="A91" s="868" t="s">
        <v>398</v>
      </c>
      <c r="B91" s="869"/>
      <c r="C91" s="869"/>
      <c r="D91" s="869"/>
      <c r="E91" s="293" t="s">
        <v>344</v>
      </c>
      <c r="F91" s="305" t="s">
        <v>351</v>
      </c>
      <c r="G91" s="293" t="s">
        <v>305</v>
      </c>
      <c r="H91" s="293" t="s">
        <v>325</v>
      </c>
      <c r="I91" s="293" t="s">
        <v>306</v>
      </c>
      <c r="J91" s="294" t="s">
        <v>353</v>
      </c>
      <c r="K91" s="265"/>
    </row>
    <row r="92" spans="1:12" ht="12.75">
      <c r="A92" s="870" t="s">
        <v>544</v>
      </c>
      <c r="B92" s="871"/>
      <c r="C92" s="871"/>
      <c r="D92" s="871"/>
      <c r="E92" s="321" t="s">
        <v>344</v>
      </c>
      <c r="F92" s="322">
        <f>F36</f>
        <v>124.6</v>
      </c>
      <c r="G92" s="317"/>
      <c r="H92" s="317">
        <v>1.1000000000000001</v>
      </c>
      <c r="I92" s="317">
        <v>2</v>
      </c>
      <c r="J92" s="330">
        <f>F92*H92*I92</f>
        <v>274.12</v>
      </c>
      <c r="K92" s="303"/>
    </row>
    <row r="93" spans="1:12" ht="12.75">
      <c r="A93" s="870" t="s">
        <v>543</v>
      </c>
      <c r="B93" s="871"/>
      <c r="C93" s="871"/>
      <c r="D93" s="871"/>
      <c r="E93" s="321" t="s">
        <v>344</v>
      </c>
      <c r="F93" s="322">
        <v>15</v>
      </c>
      <c r="G93" s="317"/>
      <c r="H93" s="317">
        <v>0.9</v>
      </c>
      <c r="I93" s="317">
        <v>2</v>
      </c>
      <c r="J93" s="330">
        <f>F93*H93*I93</f>
        <v>27</v>
      </c>
      <c r="K93" s="303"/>
    </row>
    <row r="94" spans="1:12" ht="12.75">
      <c r="A94" s="870" t="s">
        <v>543</v>
      </c>
      <c r="B94" s="871"/>
      <c r="C94" s="871"/>
      <c r="D94" s="871"/>
      <c r="E94" s="321" t="s">
        <v>344</v>
      </c>
      <c r="F94" s="322">
        <v>15</v>
      </c>
      <c r="G94" s="310"/>
      <c r="H94" s="317">
        <v>0.45</v>
      </c>
      <c r="I94" s="309">
        <v>2</v>
      </c>
      <c r="J94" s="330">
        <f>F94*H94*I94</f>
        <v>13.5</v>
      </c>
      <c r="K94" s="303"/>
    </row>
    <row r="95" spans="1:12" ht="12.75">
      <c r="A95" s="862" t="s">
        <v>543</v>
      </c>
      <c r="B95" s="863"/>
      <c r="C95" s="863"/>
      <c r="D95" s="864"/>
      <c r="E95" s="304" t="s">
        <v>344</v>
      </c>
      <c r="F95" s="322">
        <v>15</v>
      </c>
      <c r="G95" s="310"/>
      <c r="H95" s="317">
        <v>0.45</v>
      </c>
      <c r="I95" s="302">
        <v>2</v>
      </c>
      <c r="J95" s="330">
        <f>F95*H95*I95</f>
        <v>13.5</v>
      </c>
      <c r="K95" s="303"/>
    </row>
    <row r="96" spans="1:12" ht="13.5" thickBot="1">
      <c r="A96" s="862" t="s">
        <v>541</v>
      </c>
      <c r="B96" s="863"/>
      <c r="C96" s="863"/>
      <c r="D96" s="864"/>
      <c r="E96" s="304" t="s">
        <v>344</v>
      </c>
      <c r="F96" s="310">
        <v>0.74</v>
      </c>
      <c r="G96" s="310"/>
      <c r="H96" s="310"/>
      <c r="I96" s="316">
        <v>4</v>
      </c>
      <c r="J96" s="402">
        <f>F96*I96</f>
        <v>2.96</v>
      </c>
      <c r="K96" s="303"/>
    </row>
    <row r="97" spans="1:11" ht="21" customHeight="1" thickBot="1">
      <c r="A97" s="859" t="s">
        <v>512</v>
      </c>
      <c r="B97" s="860"/>
      <c r="C97" s="860"/>
      <c r="D97" s="860"/>
      <c r="E97" s="860"/>
      <c r="F97" s="860"/>
      <c r="G97" s="860"/>
      <c r="H97" s="860"/>
      <c r="I97" s="861"/>
      <c r="J97" s="392">
        <f>SUM(J92:J96)</f>
        <v>331.08</v>
      </c>
      <c r="K97" s="303"/>
    </row>
    <row r="98" spans="1:11" ht="13.5" thickBot="1">
      <c r="A98" s="394"/>
      <c r="B98" s="395"/>
      <c r="C98" s="395"/>
      <c r="D98" s="395"/>
      <c r="E98" s="395"/>
      <c r="F98" s="395"/>
      <c r="G98" s="395"/>
      <c r="H98" s="395"/>
      <c r="I98" s="395"/>
      <c r="J98" s="396"/>
      <c r="K98" s="303"/>
    </row>
    <row r="99" spans="1:11" ht="13.5" thickBot="1">
      <c r="A99" s="868" t="s">
        <v>531</v>
      </c>
      <c r="B99" s="869"/>
      <c r="C99" s="869"/>
      <c r="D99" s="869"/>
      <c r="E99" s="293" t="s">
        <v>344</v>
      </c>
      <c r="F99" s="305" t="s">
        <v>351</v>
      </c>
      <c r="G99" s="293" t="s">
        <v>305</v>
      </c>
      <c r="H99" s="293" t="s">
        <v>325</v>
      </c>
      <c r="I99" s="293" t="s">
        <v>306</v>
      </c>
      <c r="J99" s="294" t="s">
        <v>353</v>
      </c>
      <c r="K99" s="303"/>
    </row>
    <row r="100" spans="1:11" ht="12.75">
      <c r="A100" s="865" t="s">
        <v>316</v>
      </c>
      <c r="B100" s="866"/>
      <c r="C100" s="866"/>
      <c r="D100" s="867"/>
      <c r="E100" s="319" t="s">
        <v>344</v>
      </c>
      <c r="F100" s="317">
        <v>15</v>
      </c>
      <c r="G100" s="309">
        <v>1.1000000000000001</v>
      </c>
      <c r="H100" s="317"/>
      <c r="I100" s="317">
        <v>2</v>
      </c>
      <c r="J100" s="330"/>
      <c r="K100" s="303"/>
    </row>
    <row r="101" spans="1:11" ht="13.5" thickBot="1">
      <c r="A101" s="870" t="s">
        <v>533</v>
      </c>
      <c r="B101" s="871"/>
      <c r="C101" s="871"/>
      <c r="D101" s="871"/>
      <c r="E101" s="321" t="s">
        <v>344</v>
      </c>
      <c r="F101" s="322">
        <v>2.64</v>
      </c>
      <c r="G101" s="310"/>
      <c r="H101" s="317"/>
      <c r="I101" s="309">
        <v>2</v>
      </c>
      <c r="J101" s="330">
        <f>F101*I101</f>
        <v>5.28</v>
      </c>
      <c r="K101" s="303"/>
    </row>
    <row r="102" spans="1:11" ht="21" customHeight="1" thickBot="1">
      <c r="A102" s="859" t="s">
        <v>532</v>
      </c>
      <c r="B102" s="860"/>
      <c r="C102" s="860"/>
      <c r="D102" s="860"/>
      <c r="E102" s="860"/>
      <c r="F102" s="860"/>
      <c r="G102" s="860"/>
      <c r="H102" s="860"/>
      <c r="I102" s="861"/>
      <c r="J102" s="392">
        <f>SUM(J100:J101)</f>
        <v>5.28</v>
      </c>
      <c r="K102" s="303"/>
    </row>
    <row r="103" spans="1:11" ht="15.75" thickBot="1">
      <c r="A103" s="398"/>
      <c r="B103" s="399"/>
      <c r="C103" s="399"/>
      <c r="D103" s="399"/>
      <c r="E103" s="399"/>
      <c r="F103" s="323"/>
      <c r="G103" s="266"/>
      <c r="H103" s="323"/>
      <c r="I103" s="324"/>
      <c r="J103" s="367"/>
      <c r="K103" s="298"/>
    </row>
    <row r="104" spans="1:11" ht="13.5" thickBot="1">
      <c r="A104" s="859" t="s">
        <v>366</v>
      </c>
      <c r="B104" s="860"/>
      <c r="C104" s="860"/>
      <c r="D104" s="861"/>
      <c r="E104" s="293" t="s">
        <v>317</v>
      </c>
      <c r="F104" s="305" t="s">
        <v>351</v>
      </c>
      <c r="G104" s="293" t="s">
        <v>305</v>
      </c>
      <c r="H104" s="293" t="s">
        <v>325</v>
      </c>
      <c r="I104" s="293" t="s">
        <v>306</v>
      </c>
      <c r="J104" s="294" t="s">
        <v>467</v>
      </c>
      <c r="K104" s="303"/>
    </row>
    <row r="105" spans="1:11" ht="12.75">
      <c r="A105" s="857" t="s">
        <v>545</v>
      </c>
      <c r="B105" s="858"/>
      <c r="C105" s="858"/>
      <c r="D105" s="858"/>
      <c r="E105" s="321" t="s">
        <v>317</v>
      </c>
      <c r="F105" s="317">
        <v>202.54</v>
      </c>
      <c r="G105" s="317"/>
      <c r="H105" s="317"/>
      <c r="I105" s="317"/>
      <c r="J105" s="330">
        <f>F105</f>
        <v>202.54</v>
      </c>
      <c r="K105" s="303"/>
    </row>
    <row r="106" spans="1:11" ht="12.75">
      <c r="A106" s="857" t="s">
        <v>546</v>
      </c>
      <c r="B106" s="858"/>
      <c r="C106" s="858"/>
      <c r="D106" s="858"/>
      <c r="E106" s="321" t="s">
        <v>317</v>
      </c>
      <c r="F106" s="317">
        <v>82</v>
      </c>
      <c r="G106" s="317"/>
      <c r="H106" s="317"/>
      <c r="I106" s="317"/>
      <c r="J106" s="330">
        <f>F106</f>
        <v>82</v>
      </c>
      <c r="K106" s="303"/>
    </row>
    <row r="107" spans="1:11" ht="13.5" thickBot="1">
      <c r="A107" s="857" t="s">
        <v>547</v>
      </c>
      <c r="B107" s="858"/>
      <c r="C107" s="858"/>
      <c r="D107" s="858"/>
      <c r="E107" s="321" t="s">
        <v>317</v>
      </c>
      <c r="F107" s="317">
        <v>91.94</v>
      </c>
      <c r="G107" s="317"/>
      <c r="H107" s="317"/>
      <c r="I107" s="317"/>
      <c r="J107" s="330">
        <f>F107</f>
        <v>91.94</v>
      </c>
      <c r="K107" s="303"/>
    </row>
    <row r="108" spans="1:11" ht="21.75" customHeight="1" thickBot="1">
      <c r="A108" s="859" t="s">
        <v>318</v>
      </c>
      <c r="B108" s="860"/>
      <c r="C108" s="860"/>
      <c r="D108" s="860"/>
      <c r="E108" s="860"/>
      <c r="F108" s="860"/>
      <c r="G108" s="860"/>
      <c r="H108" s="860"/>
      <c r="I108" s="861"/>
      <c r="J108" s="392">
        <f>SUM(J105:J107)</f>
        <v>376.48</v>
      </c>
      <c r="K108" s="303"/>
    </row>
    <row r="109" spans="1:11" ht="15.75" thickBot="1">
      <c r="A109" s="368"/>
      <c r="B109" s="267"/>
      <c r="C109" s="267"/>
      <c r="D109" s="267"/>
      <c r="E109" s="267"/>
      <c r="F109" s="267"/>
      <c r="G109" s="267"/>
      <c r="H109" s="267"/>
      <c r="I109" s="311"/>
      <c r="J109" s="369"/>
      <c r="K109" s="303"/>
    </row>
    <row r="110" spans="1:11" ht="13.5" thickBot="1">
      <c r="A110" s="859" t="s">
        <v>367</v>
      </c>
      <c r="B110" s="860"/>
      <c r="C110" s="860"/>
      <c r="D110" s="861"/>
      <c r="E110" s="293" t="s">
        <v>344</v>
      </c>
      <c r="F110" s="305" t="s">
        <v>351</v>
      </c>
      <c r="G110" s="293" t="s">
        <v>305</v>
      </c>
      <c r="H110" s="293" t="s">
        <v>325</v>
      </c>
      <c r="I110" s="293" t="s">
        <v>306</v>
      </c>
      <c r="J110" s="294" t="s">
        <v>353</v>
      </c>
      <c r="K110" s="303"/>
    </row>
    <row r="111" spans="1:11" ht="12.75">
      <c r="A111" s="857" t="s">
        <v>319</v>
      </c>
      <c r="B111" s="858"/>
      <c r="C111" s="858"/>
      <c r="D111" s="858"/>
      <c r="E111" s="321" t="s">
        <v>344</v>
      </c>
      <c r="F111" s="317">
        <v>36.299999999999997</v>
      </c>
      <c r="G111" s="317"/>
      <c r="H111" s="317">
        <v>1.2</v>
      </c>
      <c r="I111" s="317">
        <v>2</v>
      </c>
      <c r="J111" s="330">
        <f>F111*H111*I111</f>
        <v>87.12</v>
      </c>
      <c r="K111" s="303"/>
    </row>
    <row r="112" spans="1:11" ht="12.75">
      <c r="A112" s="857" t="s">
        <v>320</v>
      </c>
      <c r="B112" s="858"/>
      <c r="C112" s="858"/>
      <c r="D112" s="858"/>
      <c r="E112" s="321" t="s">
        <v>344</v>
      </c>
      <c r="F112" s="317">
        <v>2</v>
      </c>
      <c r="G112" s="317"/>
      <c r="H112" s="317">
        <v>1.3</v>
      </c>
      <c r="I112" s="317">
        <v>2</v>
      </c>
      <c r="J112" s="330">
        <f>F112*H112*I112</f>
        <v>5.2</v>
      </c>
      <c r="K112" s="303"/>
    </row>
    <row r="113" spans="1:11" ht="13.5" thickBot="1">
      <c r="A113" s="857" t="s">
        <v>321</v>
      </c>
      <c r="B113" s="858"/>
      <c r="C113" s="858"/>
      <c r="D113" s="858"/>
      <c r="E113" s="321" t="s">
        <v>344</v>
      </c>
      <c r="F113" s="317">
        <v>34</v>
      </c>
      <c r="G113" s="317"/>
      <c r="H113" s="317">
        <v>2.5</v>
      </c>
      <c r="I113" s="317">
        <v>2</v>
      </c>
      <c r="J113" s="330">
        <f>F113*H113*I113</f>
        <v>170</v>
      </c>
      <c r="K113" s="303"/>
    </row>
    <row r="114" spans="1:11" ht="21" customHeight="1" thickBot="1">
      <c r="A114" s="859" t="s">
        <v>322</v>
      </c>
      <c r="B114" s="860"/>
      <c r="C114" s="860"/>
      <c r="D114" s="860"/>
      <c r="E114" s="860"/>
      <c r="F114" s="860"/>
      <c r="G114" s="860"/>
      <c r="H114" s="860"/>
      <c r="I114" s="861"/>
      <c r="J114" s="392">
        <f>SUM(J111:J113)</f>
        <v>262.32</v>
      </c>
      <c r="K114" s="303"/>
    </row>
    <row r="115" spans="1:11" ht="15.75" thickBot="1">
      <c r="A115" s="368"/>
      <c r="B115" s="267"/>
      <c r="C115" s="267"/>
      <c r="D115" s="267"/>
      <c r="E115" s="267"/>
      <c r="F115" s="267"/>
      <c r="G115" s="267"/>
      <c r="H115" s="267"/>
      <c r="I115" s="311"/>
      <c r="J115" s="369"/>
      <c r="K115" s="303"/>
    </row>
    <row r="116" spans="1:11" ht="13.5" thickBot="1">
      <c r="A116" s="859" t="s">
        <v>368</v>
      </c>
      <c r="B116" s="860"/>
      <c r="C116" s="860"/>
      <c r="D116" s="860"/>
      <c r="E116" s="291" t="s">
        <v>317</v>
      </c>
      <c r="F116" s="378" t="s">
        <v>351</v>
      </c>
      <c r="G116" s="293" t="s">
        <v>305</v>
      </c>
      <c r="H116" s="293" t="s">
        <v>325</v>
      </c>
      <c r="I116" s="293" t="s">
        <v>306</v>
      </c>
      <c r="J116" s="294" t="s">
        <v>467</v>
      </c>
      <c r="K116" s="303"/>
    </row>
    <row r="117" spans="1:11" ht="17.25" customHeight="1" thickBot="1">
      <c r="A117" s="855" t="s">
        <v>323</v>
      </c>
      <c r="B117" s="856"/>
      <c r="C117" s="856"/>
      <c r="D117" s="856"/>
      <c r="E117" s="379" t="s">
        <v>317</v>
      </c>
      <c r="F117" s="332">
        <v>32.58</v>
      </c>
      <c r="G117" s="332"/>
      <c r="H117" s="332"/>
      <c r="I117" s="332"/>
      <c r="J117" s="334">
        <f>F117</f>
        <v>32.58</v>
      </c>
      <c r="K117" s="303"/>
    </row>
    <row r="118" spans="1:11" ht="15.75" thickBot="1">
      <c r="A118" s="368"/>
      <c r="B118" s="267"/>
      <c r="C118" s="267"/>
      <c r="D118" s="267"/>
      <c r="E118" s="267"/>
      <c r="F118" s="267"/>
      <c r="G118" s="267"/>
      <c r="H118" s="267"/>
      <c r="I118" s="311"/>
      <c r="J118" s="369"/>
      <c r="K118" s="303"/>
    </row>
    <row r="119" spans="1:11" ht="13.5" thickBot="1">
      <c r="A119" s="859" t="s">
        <v>369</v>
      </c>
      <c r="B119" s="860"/>
      <c r="C119" s="860"/>
      <c r="D119" s="861"/>
      <c r="E119" s="293" t="s">
        <v>344</v>
      </c>
      <c r="F119" s="305" t="s">
        <v>351</v>
      </c>
      <c r="G119" s="293" t="s">
        <v>305</v>
      </c>
      <c r="H119" s="293" t="s">
        <v>325</v>
      </c>
      <c r="I119" s="293" t="s">
        <v>370</v>
      </c>
      <c r="J119" s="294" t="s">
        <v>353</v>
      </c>
      <c r="K119" s="303"/>
    </row>
    <row r="120" spans="1:11" ht="17.25" customHeight="1" thickBot="1">
      <c r="A120" s="855" t="s">
        <v>324</v>
      </c>
      <c r="B120" s="856"/>
      <c r="C120" s="856"/>
      <c r="D120" s="856"/>
      <c r="E120" s="331" t="s">
        <v>344</v>
      </c>
      <c r="F120" s="332">
        <v>16.29</v>
      </c>
      <c r="G120" s="333">
        <v>3.8100000000000002E-2</v>
      </c>
      <c r="H120" s="332">
        <v>4</v>
      </c>
      <c r="I120" s="332">
        <v>3.14</v>
      </c>
      <c r="J120" s="334">
        <f>F120*G120*H120*I120</f>
        <v>7.8</v>
      </c>
      <c r="K120" s="303"/>
    </row>
    <row r="121" spans="1:11">
      <c r="A121" s="326"/>
      <c r="B121" s="326"/>
      <c r="C121" s="326"/>
      <c r="D121" s="326"/>
      <c r="E121" s="326"/>
      <c r="F121" s="326"/>
      <c r="G121" s="326"/>
      <c r="H121" s="326"/>
      <c r="I121" s="326"/>
      <c r="J121" s="326"/>
      <c r="K121" s="325"/>
    </row>
    <row r="122" spans="1:11">
      <c r="B122" s="62"/>
      <c r="C122" s="62"/>
      <c r="D122" s="62"/>
      <c r="E122" s="62"/>
      <c r="F122" s="62"/>
    </row>
    <row r="123" spans="1:11">
      <c r="B123" s="62"/>
      <c r="C123" s="62"/>
      <c r="D123" s="62"/>
      <c r="E123" s="62"/>
      <c r="F123" s="62"/>
    </row>
    <row r="124" spans="1:11">
      <c r="B124" s="62"/>
      <c r="C124" s="62"/>
      <c r="D124" s="62"/>
      <c r="E124" s="62"/>
      <c r="F124" s="62"/>
    </row>
    <row r="125" spans="1:11">
      <c r="B125" s="62"/>
      <c r="C125" s="62"/>
      <c r="D125" s="62"/>
      <c r="E125" s="62"/>
      <c r="F125" s="62"/>
    </row>
    <row r="126" spans="1:11">
      <c r="B126" s="62"/>
      <c r="C126" s="62"/>
      <c r="D126" s="62"/>
      <c r="E126" s="62"/>
      <c r="F126" s="62"/>
    </row>
    <row r="127" spans="1:11">
      <c r="B127" s="62"/>
      <c r="C127" s="62"/>
      <c r="D127" s="62"/>
      <c r="E127" s="62"/>
      <c r="F127" s="62"/>
    </row>
    <row r="128" spans="1:11">
      <c r="B128" s="62"/>
      <c r="C128" s="62"/>
      <c r="D128" s="62"/>
      <c r="E128" s="62"/>
      <c r="F128" s="62"/>
    </row>
    <row r="129" spans="2:6">
      <c r="B129" s="62"/>
      <c r="C129" s="62"/>
      <c r="D129" s="62"/>
      <c r="E129" s="62"/>
      <c r="F129" s="62"/>
    </row>
    <row r="130" spans="2:6">
      <c r="B130" s="62"/>
      <c r="C130" s="62"/>
      <c r="D130" s="62"/>
      <c r="E130" s="62"/>
      <c r="F130" s="62"/>
    </row>
    <row r="131" spans="2:6">
      <c r="B131" s="62"/>
      <c r="C131" s="62"/>
      <c r="D131" s="62"/>
      <c r="E131" s="62"/>
      <c r="F131" s="62"/>
    </row>
    <row r="132" spans="2:6">
      <c r="B132" s="62"/>
      <c r="C132" s="62"/>
      <c r="D132" s="62"/>
      <c r="E132" s="62"/>
      <c r="F132" s="62"/>
    </row>
    <row r="133" spans="2:6">
      <c r="B133" s="62"/>
      <c r="C133" s="62"/>
      <c r="D133" s="62"/>
      <c r="E133" s="62"/>
      <c r="F133" s="62"/>
    </row>
    <row r="134" spans="2:6">
      <c r="B134" s="62"/>
      <c r="C134" s="62"/>
      <c r="D134" s="62"/>
      <c r="E134" s="62"/>
      <c r="F134" s="62"/>
    </row>
    <row r="135" spans="2:6">
      <c r="B135" s="62"/>
      <c r="C135" s="62"/>
      <c r="D135" s="62"/>
      <c r="E135" s="62"/>
      <c r="F135" s="62"/>
    </row>
    <row r="136" spans="2:6">
      <c r="B136" s="62"/>
      <c r="C136" s="62"/>
      <c r="D136" s="62"/>
      <c r="E136" s="62"/>
      <c r="F136" s="62"/>
    </row>
    <row r="137" spans="2:6">
      <c r="B137" s="62"/>
      <c r="C137" s="62"/>
      <c r="D137" s="62"/>
      <c r="E137" s="62"/>
      <c r="F137" s="62"/>
    </row>
    <row r="138" spans="2:6">
      <c r="B138" s="62"/>
      <c r="C138" s="62"/>
      <c r="D138" s="62"/>
      <c r="E138" s="62"/>
      <c r="F138" s="62"/>
    </row>
    <row r="139" spans="2:6">
      <c r="B139" s="62"/>
      <c r="C139" s="62"/>
      <c r="D139" s="62"/>
      <c r="E139" s="62"/>
      <c r="F139" s="62"/>
    </row>
    <row r="140" spans="2:6">
      <c r="B140" s="62"/>
      <c r="C140" s="62"/>
      <c r="D140" s="62"/>
      <c r="E140" s="62"/>
      <c r="F140" s="62"/>
    </row>
    <row r="141" spans="2:6">
      <c r="B141" s="62"/>
      <c r="C141" s="62"/>
      <c r="D141" s="62"/>
      <c r="E141" s="62"/>
      <c r="F141" s="62"/>
    </row>
    <row r="142" spans="2:6">
      <c r="B142" s="62"/>
      <c r="C142" s="62"/>
      <c r="D142" s="62"/>
      <c r="E142" s="62"/>
      <c r="F142" s="62"/>
    </row>
    <row r="143" spans="2:6">
      <c r="B143" s="62"/>
      <c r="C143" s="62"/>
      <c r="D143" s="62"/>
      <c r="E143" s="62"/>
      <c r="F143" s="62"/>
    </row>
    <row r="144" spans="2:6">
      <c r="B144" s="62"/>
      <c r="C144" s="62"/>
      <c r="D144" s="62"/>
      <c r="E144" s="62"/>
      <c r="F144" s="62"/>
    </row>
    <row r="145" spans="2:6">
      <c r="B145" s="62"/>
      <c r="C145" s="62"/>
      <c r="D145" s="62"/>
      <c r="E145" s="62"/>
      <c r="F145" s="62"/>
    </row>
    <row r="146" spans="2:6">
      <c r="B146" s="62"/>
      <c r="C146" s="62"/>
      <c r="D146" s="62"/>
      <c r="E146" s="62"/>
      <c r="F146" s="62"/>
    </row>
    <row r="147" spans="2:6">
      <c r="B147" s="62"/>
      <c r="C147" s="62"/>
      <c r="D147" s="62"/>
      <c r="E147" s="62"/>
      <c r="F147" s="62"/>
    </row>
    <row r="148" spans="2:6">
      <c r="B148" s="62"/>
      <c r="C148" s="62"/>
      <c r="D148" s="62"/>
      <c r="E148" s="62"/>
      <c r="F148" s="62"/>
    </row>
    <row r="149" spans="2:6">
      <c r="B149" s="62"/>
      <c r="C149" s="62"/>
      <c r="D149" s="62"/>
      <c r="E149" s="62"/>
      <c r="F149" s="62"/>
    </row>
    <row r="150" spans="2:6">
      <c r="B150" s="62"/>
      <c r="C150" s="62"/>
      <c r="D150" s="62"/>
      <c r="E150" s="62"/>
      <c r="F150" s="62"/>
    </row>
    <row r="151" spans="2:6">
      <c r="B151" s="62"/>
      <c r="C151" s="62"/>
      <c r="D151" s="62"/>
      <c r="E151" s="62"/>
      <c r="F151" s="62"/>
    </row>
    <row r="152" spans="2:6">
      <c r="B152" s="62"/>
      <c r="C152" s="62"/>
      <c r="D152" s="62"/>
      <c r="E152" s="62"/>
      <c r="F152" s="62"/>
    </row>
    <row r="153" spans="2:6">
      <c r="B153" s="62"/>
      <c r="C153" s="62"/>
      <c r="D153" s="62"/>
      <c r="E153" s="62"/>
      <c r="F153" s="62"/>
    </row>
    <row r="154" spans="2:6">
      <c r="B154" s="62"/>
      <c r="C154" s="62"/>
      <c r="D154" s="62"/>
      <c r="E154" s="62"/>
      <c r="F154" s="62"/>
    </row>
    <row r="155" spans="2:6">
      <c r="B155" s="62"/>
      <c r="C155" s="62"/>
      <c r="D155" s="62"/>
      <c r="E155" s="62"/>
      <c r="F155" s="62"/>
    </row>
    <row r="156" spans="2:6">
      <c r="B156" s="62"/>
      <c r="C156" s="62"/>
      <c r="D156" s="62"/>
      <c r="E156" s="62"/>
      <c r="F156" s="62"/>
    </row>
    <row r="157" spans="2:6">
      <c r="B157" s="62"/>
      <c r="C157" s="62"/>
      <c r="D157" s="62"/>
      <c r="E157" s="62"/>
      <c r="F157" s="62"/>
    </row>
    <row r="158" spans="2:6">
      <c r="B158" s="62"/>
      <c r="C158" s="62"/>
      <c r="D158" s="62"/>
      <c r="E158" s="62"/>
      <c r="F158" s="62"/>
    </row>
    <row r="159" spans="2:6">
      <c r="B159" s="62"/>
      <c r="C159" s="62"/>
      <c r="D159" s="62"/>
      <c r="E159" s="62"/>
      <c r="F159" s="62"/>
    </row>
    <row r="160" spans="2:6">
      <c r="B160" s="62"/>
      <c r="C160" s="62"/>
      <c r="D160" s="62"/>
      <c r="E160" s="62"/>
      <c r="F160" s="62"/>
    </row>
    <row r="161" spans="2:6" ht="75.75" customHeight="1">
      <c r="B161" s="62"/>
      <c r="C161" s="62"/>
      <c r="D161" s="62"/>
      <c r="E161" s="62"/>
      <c r="F161" s="62"/>
    </row>
    <row r="162" spans="2:6">
      <c r="B162" s="62"/>
      <c r="C162" s="62"/>
      <c r="D162" s="62"/>
      <c r="E162" s="62"/>
      <c r="F162" s="62"/>
    </row>
    <row r="163" spans="2:6">
      <c r="B163" s="62"/>
      <c r="C163" s="62"/>
      <c r="D163" s="62"/>
      <c r="E163" s="62"/>
      <c r="F163" s="62"/>
    </row>
    <row r="164" spans="2:6">
      <c r="B164" s="62"/>
      <c r="C164" s="62"/>
      <c r="D164" s="62"/>
      <c r="E164" s="62"/>
      <c r="F164" s="62"/>
    </row>
    <row r="165" spans="2:6">
      <c r="B165" s="62"/>
      <c r="C165" s="62"/>
      <c r="D165" s="62"/>
      <c r="E165" s="62"/>
      <c r="F165" s="62"/>
    </row>
    <row r="166" spans="2:6">
      <c r="B166" s="62"/>
      <c r="C166" s="62"/>
      <c r="D166" s="62"/>
      <c r="E166" s="62"/>
      <c r="F166" s="62"/>
    </row>
    <row r="167" spans="2:6" ht="12.75" customHeight="1">
      <c r="B167" s="63"/>
      <c r="C167" s="63"/>
      <c r="D167" s="63"/>
      <c r="E167" s="63"/>
      <c r="F167" s="64"/>
    </row>
    <row r="168" spans="2:6">
      <c r="B168" s="63"/>
      <c r="C168" s="63"/>
      <c r="D168" s="63"/>
      <c r="E168" s="63"/>
      <c r="F168" s="64"/>
    </row>
    <row r="169" spans="2:6">
      <c r="B169" s="62"/>
      <c r="C169" s="62"/>
      <c r="D169" s="62"/>
      <c r="E169" s="62"/>
      <c r="F169" s="62"/>
    </row>
    <row r="170" spans="2:6">
      <c r="B170" s="62"/>
      <c r="C170" s="62"/>
      <c r="D170" s="62"/>
      <c r="E170" s="62"/>
      <c r="F170" s="62"/>
    </row>
    <row r="171" spans="2:6">
      <c r="B171" s="62"/>
      <c r="C171" s="62"/>
      <c r="D171" s="62"/>
      <c r="E171" s="62"/>
    </row>
    <row r="172" spans="2:6">
      <c r="B172" s="62"/>
      <c r="C172" s="62"/>
      <c r="D172" s="62"/>
      <c r="E172" s="62"/>
    </row>
    <row r="173" spans="2:6">
      <c r="B173" s="62"/>
      <c r="C173" s="62"/>
      <c r="D173" s="62"/>
      <c r="E173" s="62"/>
    </row>
    <row r="174" spans="2:6">
      <c r="B174" s="62"/>
      <c r="C174" s="62"/>
      <c r="D174" s="62"/>
      <c r="E174" s="62"/>
    </row>
    <row r="175" spans="2:6">
      <c r="B175" s="62"/>
      <c r="C175" s="62"/>
      <c r="D175" s="62"/>
      <c r="E175" s="62"/>
    </row>
    <row r="176" spans="2:6">
      <c r="B176" s="62"/>
      <c r="C176" s="62"/>
      <c r="D176" s="62"/>
      <c r="E176" s="62"/>
    </row>
    <row r="177" spans="2:5">
      <c r="B177" s="62"/>
      <c r="C177" s="62"/>
      <c r="D177" s="62"/>
      <c r="E177" s="62"/>
    </row>
    <row r="178" spans="2:5">
      <c r="B178" s="62"/>
      <c r="C178" s="62"/>
      <c r="D178" s="62"/>
      <c r="E178" s="62"/>
    </row>
    <row r="179" spans="2:5">
      <c r="B179" s="62"/>
      <c r="C179" s="62"/>
      <c r="D179" s="62"/>
      <c r="E179" s="62"/>
    </row>
    <row r="180" spans="2:5">
      <c r="B180" s="62"/>
      <c r="C180" s="62"/>
      <c r="D180" s="62"/>
      <c r="E180" s="62"/>
    </row>
    <row r="181" spans="2:5">
      <c r="B181" s="62"/>
      <c r="C181" s="62"/>
      <c r="D181" s="62"/>
      <c r="E181" s="62"/>
    </row>
    <row r="182" spans="2:5">
      <c r="B182" s="62"/>
      <c r="C182" s="62"/>
      <c r="D182" s="62"/>
      <c r="E182" s="62"/>
    </row>
    <row r="183" spans="2:5">
      <c r="B183" s="62"/>
      <c r="C183" s="62"/>
      <c r="D183" s="62"/>
      <c r="E183" s="62"/>
    </row>
    <row r="184" spans="2:5">
      <c r="B184" s="62"/>
      <c r="C184" s="62"/>
      <c r="D184" s="62"/>
      <c r="E184" s="62"/>
    </row>
    <row r="185" spans="2:5">
      <c r="B185" s="62"/>
      <c r="C185" s="62"/>
      <c r="D185" s="62"/>
      <c r="E185" s="62"/>
    </row>
    <row r="186" spans="2:5">
      <c r="B186" s="62"/>
      <c r="C186" s="62"/>
      <c r="D186" s="62"/>
      <c r="E186" s="62"/>
    </row>
    <row r="187" spans="2:5">
      <c r="B187" s="62"/>
      <c r="C187" s="62"/>
      <c r="D187" s="62"/>
      <c r="E187" s="62"/>
    </row>
    <row r="188" spans="2:5">
      <c r="B188" s="62"/>
      <c r="C188" s="62"/>
      <c r="D188" s="62"/>
      <c r="E188" s="62"/>
    </row>
    <row r="189" spans="2:5">
      <c r="B189" s="62"/>
      <c r="C189" s="62"/>
      <c r="D189" s="62"/>
      <c r="E189" s="62"/>
    </row>
    <row r="190" spans="2:5">
      <c r="B190" s="62"/>
      <c r="C190" s="62"/>
      <c r="D190" s="62"/>
      <c r="E190" s="62"/>
    </row>
    <row r="191" spans="2:5">
      <c r="B191" s="62"/>
      <c r="C191" s="62"/>
      <c r="D191" s="62"/>
      <c r="E191" s="62"/>
    </row>
    <row r="192" spans="2:5">
      <c r="B192" s="62"/>
      <c r="C192" s="62"/>
      <c r="D192" s="62"/>
      <c r="E192" s="62"/>
    </row>
    <row r="193" spans="2:5">
      <c r="B193" s="62"/>
      <c r="C193" s="62"/>
      <c r="D193" s="62"/>
      <c r="E193" s="62"/>
    </row>
    <row r="194" spans="2:5">
      <c r="B194" s="62"/>
      <c r="C194" s="62"/>
      <c r="D194" s="62"/>
      <c r="E194" s="62"/>
    </row>
    <row r="195" spans="2:5">
      <c r="B195" s="62"/>
      <c r="C195" s="62"/>
      <c r="D195" s="62"/>
      <c r="E195" s="62"/>
    </row>
    <row r="196" spans="2:5">
      <c r="B196" s="64"/>
      <c r="C196" s="62"/>
      <c r="D196" s="62"/>
      <c r="E196" s="62"/>
    </row>
    <row r="197" spans="2:5">
      <c r="B197" s="64"/>
      <c r="C197" s="62"/>
      <c r="D197" s="62"/>
      <c r="E197" s="62"/>
    </row>
    <row r="198" spans="2:5">
      <c r="B198" s="64"/>
      <c r="C198" s="62"/>
      <c r="D198" s="62"/>
      <c r="E198" s="62"/>
    </row>
    <row r="199" spans="2:5" ht="77.25" customHeight="1">
      <c r="B199" s="64"/>
      <c r="C199" s="62"/>
      <c r="D199" s="62"/>
      <c r="E199" s="62"/>
    </row>
    <row r="200" spans="2:5">
      <c r="B200" s="64"/>
      <c r="C200" s="62"/>
      <c r="D200" s="62"/>
      <c r="E200" s="62"/>
    </row>
    <row r="201" spans="2:5">
      <c r="B201" s="64"/>
      <c r="C201" s="62"/>
      <c r="D201" s="62"/>
      <c r="E201" s="62"/>
    </row>
    <row r="202" spans="2:5">
      <c r="B202" s="64"/>
      <c r="C202" s="62"/>
      <c r="D202" s="62"/>
      <c r="E202" s="62"/>
    </row>
    <row r="203" spans="2:5">
      <c r="B203" s="64"/>
      <c r="C203" s="62"/>
      <c r="D203" s="62"/>
      <c r="E203" s="62"/>
    </row>
    <row r="204" spans="2:5">
      <c r="B204" s="64"/>
      <c r="C204" s="62"/>
      <c r="D204" s="62"/>
      <c r="E204" s="62"/>
    </row>
    <row r="205" spans="2:5">
      <c r="B205" s="64"/>
      <c r="C205" s="62"/>
      <c r="D205" s="62"/>
      <c r="E205" s="62"/>
    </row>
    <row r="206" spans="2:5">
      <c r="B206" s="62"/>
      <c r="C206" s="62"/>
      <c r="D206" s="62"/>
      <c r="E206" s="62"/>
    </row>
    <row r="207" spans="2:5">
      <c r="B207" s="62"/>
      <c r="C207" s="62"/>
      <c r="D207" s="62"/>
      <c r="E207" s="62"/>
    </row>
    <row r="208" spans="2:5">
      <c r="B208" s="62"/>
      <c r="C208" s="62"/>
      <c r="D208" s="62"/>
      <c r="E208" s="62"/>
    </row>
    <row r="209" spans="2:5">
      <c r="B209" s="62"/>
      <c r="C209" s="62"/>
      <c r="D209" s="62"/>
      <c r="E209" s="62"/>
    </row>
    <row r="210" spans="2:5">
      <c r="B210" s="62"/>
      <c r="C210" s="62"/>
      <c r="D210" s="62"/>
      <c r="E210" s="62"/>
    </row>
    <row r="211" spans="2:5">
      <c r="B211" s="62"/>
      <c r="C211" s="62"/>
      <c r="D211" s="62"/>
      <c r="E211" s="62"/>
    </row>
    <row r="212" spans="2:5">
      <c r="B212" s="62"/>
      <c r="C212" s="62"/>
      <c r="D212" s="62"/>
      <c r="E212" s="62"/>
    </row>
    <row r="213" spans="2:5">
      <c r="B213" s="62"/>
      <c r="C213" s="62"/>
      <c r="D213" s="62"/>
      <c r="E213" s="62"/>
    </row>
    <row r="214" spans="2:5">
      <c r="B214" s="62"/>
      <c r="C214" s="62"/>
      <c r="D214" s="62"/>
      <c r="E214" s="62"/>
    </row>
    <row r="215" spans="2:5">
      <c r="B215" s="62"/>
      <c r="C215" s="62"/>
      <c r="D215" s="62"/>
      <c r="E215" s="62"/>
    </row>
    <row r="216" spans="2:5">
      <c r="B216" s="62"/>
      <c r="C216" s="62"/>
      <c r="D216" s="62"/>
      <c r="E216" s="62"/>
    </row>
    <row r="217" spans="2:5">
      <c r="B217" s="62"/>
      <c r="C217" s="62"/>
      <c r="D217" s="62"/>
      <c r="E217" s="62"/>
    </row>
    <row r="218" spans="2:5">
      <c r="B218" s="62"/>
      <c r="C218" s="62"/>
      <c r="D218" s="62"/>
      <c r="E218" s="62"/>
    </row>
    <row r="219" spans="2:5">
      <c r="B219" s="62"/>
      <c r="C219" s="62"/>
      <c r="D219" s="62"/>
      <c r="E219" s="62"/>
    </row>
    <row r="220" spans="2:5">
      <c r="B220" s="62"/>
      <c r="C220" s="62"/>
      <c r="D220" s="62"/>
      <c r="E220" s="62"/>
    </row>
    <row r="221" spans="2:5">
      <c r="B221" s="62"/>
      <c r="C221" s="62"/>
      <c r="D221" s="62"/>
      <c r="E221" s="62"/>
    </row>
    <row r="222" spans="2:5">
      <c r="B222" s="62"/>
      <c r="C222" s="62"/>
      <c r="D222" s="62"/>
      <c r="E222" s="62"/>
    </row>
    <row r="223" spans="2:5">
      <c r="B223" s="62"/>
      <c r="C223" s="62"/>
      <c r="D223" s="62"/>
      <c r="E223" s="62"/>
    </row>
    <row r="224" spans="2:5">
      <c r="B224" s="62"/>
      <c r="C224" s="62"/>
      <c r="D224" s="62"/>
      <c r="E224" s="62"/>
    </row>
    <row r="225" spans="2:5">
      <c r="B225" s="62"/>
      <c r="C225" s="62"/>
      <c r="D225" s="62"/>
      <c r="E225" s="62"/>
    </row>
    <row r="226" spans="2:5">
      <c r="B226" s="62"/>
      <c r="C226" s="62"/>
      <c r="D226" s="62"/>
      <c r="E226" s="62"/>
    </row>
    <row r="227" spans="2:5">
      <c r="B227" s="62"/>
      <c r="C227" s="62"/>
      <c r="D227" s="62"/>
      <c r="E227" s="62"/>
    </row>
    <row r="228" spans="2:5">
      <c r="B228" s="62"/>
      <c r="C228" s="62"/>
      <c r="D228" s="62"/>
      <c r="E228" s="62"/>
    </row>
    <row r="229" spans="2:5">
      <c r="B229" s="62"/>
      <c r="C229" s="62"/>
      <c r="D229" s="62"/>
      <c r="E229" s="62"/>
    </row>
    <row r="230" spans="2:5">
      <c r="B230" s="62"/>
      <c r="C230" s="62"/>
      <c r="D230" s="62"/>
      <c r="E230" s="62"/>
    </row>
    <row r="231" spans="2:5">
      <c r="B231" s="62"/>
      <c r="C231" s="62"/>
      <c r="D231" s="62"/>
      <c r="E231" s="62"/>
    </row>
    <row r="232" spans="2:5">
      <c r="B232" s="62"/>
      <c r="C232" s="62"/>
      <c r="D232" s="62"/>
      <c r="E232" s="62"/>
    </row>
    <row r="233" spans="2:5">
      <c r="B233" s="62"/>
      <c r="C233" s="62"/>
      <c r="D233" s="62"/>
      <c r="E233" s="62"/>
    </row>
    <row r="234" spans="2:5">
      <c r="B234" s="62"/>
      <c r="C234" s="62"/>
      <c r="D234" s="62"/>
      <c r="E234" s="62"/>
    </row>
    <row r="235" spans="2:5">
      <c r="B235" s="62"/>
      <c r="C235" s="62"/>
      <c r="D235" s="62"/>
      <c r="E235" s="62"/>
    </row>
    <row r="236" spans="2:5" ht="6" customHeight="1">
      <c r="B236" s="62"/>
      <c r="C236" s="62"/>
      <c r="D236" s="62"/>
      <c r="E236" s="62"/>
    </row>
    <row r="237" spans="2:5" ht="79.5" hidden="1" customHeight="1">
      <c r="B237" s="62"/>
      <c r="C237" s="62"/>
      <c r="D237" s="62"/>
      <c r="E237" s="62"/>
    </row>
    <row r="238" spans="2:5">
      <c r="B238" s="62"/>
      <c r="C238" s="62"/>
      <c r="D238" s="62"/>
      <c r="E238" s="62"/>
    </row>
    <row r="239" spans="2:5">
      <c r="B239" s="62"/>
      <c r="C239" s="62"/>
      <c r="D239" s="62"/>
      <c r="E239" s="62"/>
    </row>
    <row r="240" spans="2:5">
      <c r="B240" s="62"/>
      <c r="C240" s="62"/>
      <c r="D240" s="62"/>
      <c r="E240" s="62"/>
    </row>
    <row r="241" spans="2:5">
      <c r="B241" s="62"/>
      <c r="C241" s="62"/>
      <c r="D241" s="62"/>
      <c r="E241" s="62"/>
    </row>
    <row r="242" spans="2:5">
      <c r="B242" s="62"/>
      <c r="C242" s="62"/>
      <c r="D242" s="62"/>
      <c r="E242" s="62"/>
    </row>
    <row r="243" spans="2:5">
      <c r="B243" s="62"/>
      <c r="C243" s="62"/>
      <c r="D243" s="62"/>
      <c r="E243" s="62"/>
    </row>
    <row r="244" spans="2:5">
      <c r="B244" s="62"/>
      <c r="C244" s="62"/>
      <c r="D244" s="62"/>
      <c r="E244" s="62"/>
    </row>
    <row r="245" spans="2:5">
      <c r="B245" s="62"/>
      <c r="C245" s="62"/>
      <c r="D245" s="62"/>
      <c r="E245" s="62"/>
    </row>
    <row r="246" spans="2:5">
      <c r="B246" s="62"/>
      <c r="C246" s="62"/>
      <c r="D246" s="62"/>
      <c r="E246" s="62"/>
    </row>
    <row r="247" spans="2:5">
      <c r="B247" s="62"/>
      <c r="C247" s="62"/>
      <c r="D247" s="62"/>
      <c r="E247" s="62"/>
    </row>
    <row r="248" spans="2:5">
      <c r="B248" s="62"/>
      <c r="C248" s="62"/>
      <c r="D248" s="62"/>
      <c r="E248" s="62"/>
    </row>
    <row r="249" spans="2:5">
      <c r="B249" s="62"/>
      <c r="C249" s="62"/>
      <c r="D249" s="62"/>
      <c r="E249" s="62"/>
    </row>
    <row r="250" spans="2:5">
      <c r="B250" s="62"/>
      <c r="C250" s="62"/>
      <c r="D250" s="62"/>
      <c r="E250" s="62"/>
    </row>
    <row r="251" spans="2:5">
      <c r="B251" s="62"/>
      <c r="C251" s="62"/>
      <c r="D251" s="62"/>
      <c r="E251" s="62"/>
    </row>
    <row r="252" spans="2:5">
      <c r="B252" s="62"/>
      <c r="C252" s="62"/>
      <c r="D252" s="62"/>
      <c r="E252" s="62"/>
    </row>
    <row r="253" spans="2:5">
      <c r="B253" s="62"/>
      <c r="C253" s="62"/>
      <c r="D253" s="62"/>
      <c r="E253" s="62"/>
    </row>
    <row r="254" spans="2:5">
      <c r="B254" s="62"/>
      <c r="C254" s="62"/>
      <c r="D254" s="62"/>
      <c r="E254" s="62"/>
    </row>
    <row r="255" spans="2:5">
      <c r="B255" s="62"/>
      <c r="C255" s="62"/>
      <c r="D255" s="62"/>
      <c r="E255" s="62"/>
    </row>
    <row r="256" spans="2:5">
      <c r="B256" s="62"/>
      <c r="C256" s="62"/>
      <c r="D256" s="62"/>
      <c r="E256" s="62"/>
    </row>
    <row r="257" spans="2:5">
      <c r="B257" s="62"/>
      <c r="C257" s="62"/>
      <c r="D257" s="62"/>
      <c r="E257" s="62"/>
    </row>
    <row r="258" spans="2:5">
      <c r="B258" s="62"/>
      <c r="C258" s="62"/>
      <c r="D258" s="62"/>
      <c r="E258" s="62"/>
    </row>
    <row r="259" spans="2:5">
      <c r="B259" s="62"/>
      <c r="C259" s="62"/>
      <c r="D259" s="62"/>
      <c r="E259" s="62"/>
    </row>
    <row r="260" spans="2:5">
      <c r="B260" s="62"/>
      <c r="C260" s="62"/>
      <c r="D260" s="62"/>
      <c r="E260" s="62"/>
    </row>
    <row r="261" spans="2:5">
      <c r="B261" s="62"/>
      <c r="C261" s="62"/>
      <c r="D261" s="62"/>
      <c r="E261" s="62"/>
    </row>
    <row r="262" spans="2:5">
      <c r="B262" s="62"/>
      <c r="C262" s="62"/>
      <c r="D262" s="62"/>
      <c r="E262" s="62"/>
    </row>
    <row r="263" spans="2:5">
      <c r="B263" s="62"/>
      <c r="C263" s="62"/>
      <c r="D263" s="62"/>
      <c r="E263" s="62"/>
    </row>
    <row r="264" spans="2:5">
      <c r="B264" s="62"/>
      <c r="C264" s="62"/>
      <c r="D264" s="62"/>
      <c r="E264" s="62"/>
    </row>
    <row r="265" spans="2:5">
      <c r="B265" s="62"/>
      <c r="C265" s="62"/>
      <c r="D265" s="62"/>
      <c r="E265" s="62"/>
    </row>
    <row r="266" spans="2:5">
      <c r="B266" s="62"/>
      <c r="C266" s="62"/>
      <c r="D266" s="62"/>
      <c r="E266" s="62"/>
    </row>
    <row r="267" spans="2:5">
      <c r="B267" s="62"/>
      <c r="C267" s="62"/>
      <c r="D267" s="62"/>
      <c r="E267" s="62"/>
    </row>
    <row r="268" spans="2:5">
      <c r="B268" s="62"/>
      <c r="C268" s="62"/>
      <c r="D268" s="62"/>
      <c r="E268" s="62"/>
    </row>
    <row r="269" spans="2:5">
      <c r="B269" s="62"/>
      <c r="C269" s="62"/>
      <c r="D269" s="62"/>
      <c r="E269" s="62"/>
    </row>
    <row r="270" spans="2:5">
      <c r="B270" s="62"/>
      <c r="C270" s="62"/>
      <c r="D270" s="62"/>
      <c r="E270" s="62"/>
    </row>
    <row r="271" spans="2:5">
      <c r="B271" s="62"/>
      <c r="C271" s="62"/>
      <c r="D271" s="62"/>
      <c r="E271" s="62"/>
    </row>
    <row r="272" spans="2:5">
      <c r="B272" s="62"/>
      <c r="C272" s="62"/>
      <c r="D272" s="62"/>
      <c r="E272" s="62"/>
    </row>
    <row r="273" spans="2:5">
      <c r="B273" s="62"/>
      <c r="C273" s="62"/>
      <c r="D273" s="62"/>
      <c r="E273" s="62"/>
    </row>
    <row r="274" spans="2:5">
      <c r="B274" s="62"/>
      <c r="C274" s="62"/>
      <c r="D274" s="62"/>
      <c r="E274" s="62"/>
    </row>
    <row r="275" spans="2:5" ht="78" customHeight="1">
      <c r="B275" s="62"/>
      <c r="C275" s="62"/>
      <c r="D275" s="62"/>
      <c r="E275" s="62"/>
    </row>
    <row r="276" spans="2:5">
      <c r="B276" s="62"/>
      <c r="C276" s="62"/>
      <c r="D276" s="62"/>
      <c r="E276" s="62"/>
    </row>
    <row r="277" spans="2:5">
      <c r="B277" s="62"/>
      <c r="C277" s="62"/>
      <c r="D277" s="62"/>
      <c r="E277" s="62"/>
    </row>
    <row r="278" spans="2:5">
      <c r="B278" s="62"/>
      <c r="C278" s="62"/>
      <c r="D278" s="62"/>
      <c r="E278" s="62"/>
    </row>
    <row r="279" spans="2:5">
      <c r="B279" s="62"/>
      <c r="C279" s="62"/>
      <c r="D279" s="62"/>
      <c r="E279" s="62"/>
    </row>
    <row r="280" spans="2:5">
      <c r="B280" s="62"/>
      <c r="C280" s="62"/>
      <c r="D280" s="62"/>
      <c r="E280" s="62"/>
    </row>
    <row r="281" spans="2:5" ht="24.75" customHeight="1">
      <c r="B281" s="62"/>
      <c r="C281" s="62"/>
      <c r="D281" s="62"/>
      <c r="E281" s="62"/>
    </row>
    <row r="282" spans="2:5">
      <c r="B282" s="62"/>
      <c r="C282" s="62"/>
      <c r="D282" s="62"/>
      <c r="E282" s="62"/>
    </row>
    <row r="283" spans="2:5">
      <c r="B283" s="62"/>
      <c r="C283" s="62"/>
      <c r="D283" s="62"/>
      <c r="E283" s="62"/>
    </row>
    <row r="284" spans="2:5">
      <c r="B284" s="62"/>
      <c r="C284" s="62"/>
      <c r="D284" s="62"/>
      <c r="E284" s="62"/>
    </row>
    <row r="285" spans="2:5">
      <c r="B285" s="62"/>
      <c r="C285" s="62"/>
      <c r="D285" s="62"/>
      <c r="E285" s="62"/>
    </row>
    <row r="286" spans="2:5">
      <c r="B286" s="62"/>
      <c r="C286" s="62"/>
      <c r="D286" s="62"/>
      <c r="E286" s="62"/>
    </row>
    <row r="287" spans="2:5">
      <c r="B287" s="62"/>
      <c r="C287" s="62"/>
      <c r="D287" s="62"/>
      <c r="E287" s="62"/>
    </row>
    <row r="288" spans="2:5">
      <c r="B288" s="62"/>
      <c r="C288" s="62"/>
      <c r="D288" s="62"/>
      <c r="E288" s="62"/>
    </row>
    <row r="289" spans="2:7">
      <c r="B289" s="62"/>
      <c r="C289" s="62"/>
      <c r="D289" s="62"/>
      <c r="E289" s="62"/>
    </row>
    <row r="290" spans="2:7">
      <c r="B290" s="62"/>
      <c r="C290" s="62"/>
      <c r="D290" s="62"/>
      <c r="E290" s="62"/>
    </row>
    <row r="291" spans="2:7">
      <c r="B291" s="62"/>
      <c r="C291" s="62"/>
      <c r="D291" s="62"/>
      <c r="E291" s="62"/>
    </row>
    <row r="292" spans="2:7">
      <c r="B292" s="62"/>
      <c r="C292" s="62"/>
      <c r="D292" s="62"/>
      <c r="E292" s="62"/>
    </row>
    <row r="293" spans="2:7">
      <c r="B293" s="62"/>
      <c r="C293" s="62"/>
      <c r="D293" s="62"/>
      <c r="E293" s="62"/>
    </row>
    <row r="294" spans="2:7">
      <c r="B294" s="62"/>
      <c r="C294" s="62"/>
      <c r="D294" s="62"/>
      <c r="E294" s="62"/>
    </row>
    <row r="295" spans="2:7">
      <c r="B295" s="62"/>
      <c r="C295" s="62"/>
      <c r="D295" s="62"/>
      <c r="E295" s="62"/>
    </row>
    <row r="296" spans="2:7">
      <c r="B296" s="62"/>
      <c r="C296" s="62"/>
      <c r="D296" s="62"/>
      <c r="E296" s="62"/>
    </row>
    <row r="297" spans="2:7">
      <c r="B297" s="62"/>
      <c r="C297" s="62"/>
      <c r="D297" s="62"/>
      <c r="E297" s="62"/>
    </row>
    <row r="298" spans="2:7">
      <c r="B298" s="62"/>
      <c r="C298" s="62"/>
      <c r="D298" s="62"/>
      <c r="E298" s="62"/>
    </row>
    <row r="299" spans="2:7">
      <c r="B299" s="62"/>
      <c r="C299" s="62"/>
      <c r="D299" s="62"/>
      <c r="E299" s="62"/>
      <c r="F299" s="62"/>
      <c r="G299" s="62"/>
    </row>
    <row r="300" spans="2:7">
      <c r="B300" s="62"/>
      <c r="C300" s="62"/>
      <c r="D300" s="62"/>
      <c r="E300" s="62"/>
      <c r="F300" s="62"/>
      <c r="G300" s="62"/>
    </row>
    <row r="301" spans="2:7">
      <c r="B301" s="62"/>
      <c r="C301" s="62"/>
      <c r="D301" s="62"/>
      <c r="E301" s="62"/>
      <c r="F301" s="62"/>
      <c r="G301" s="62"/>
    </row>
    <row r="302" spans="2:7">
      <c r="B302" s="62"/>
      <c r="C302" s="62"/>
      <c r="D302" s="62"/>
      <c r="E302" s="62"/>
      <c r="F302" s="62"/>
      <c r="G302" s="62"/>
    </row>
    <row r="303" spans="2:7">
      <c r="B303" s="62"/>
      <c r="C303" s="62"/>
      <c r="D303" s="62"/>
      <c r="E303" s="62"/>
      <c r="F303" s="62"/>
      <c r="G303" s="62"/>
    </row>
    <row r="304" spans="2:7">
      <c r="B304" s="62"/>
      <c r="C304" s="62"/>
      <c r="D304" s="62"/>
      <c r="E304" s="62"/>
      <c r="F304" s="62"/>
      <c r="G304" s="62"/>
    </row>
    <row r="305" spans="2:7">
      <c r="B305" s="62"/>
      <c r="C305" s="62"/>
      <c r="D305" s="62"/>
      <c r="E305" s="62"/>
      <c r="F305" s="62"/>
      <c r="G305" s="62"/>
    </row>
    <row r="306" spans="2:7">
      <c r="B306" s="62"/>
      <c r="C306" s="62"/>
      <c r="D306" s="62"/>
      <c r="E306" s="62"/>
      <c r="F306" s="62"/>
      <c r="G306" s="62"/>
    </row>
    <row r="307" spans="2:7">
      <c r="B307" s="62"/>
      <c r="C307" s="62"/>
      <c r="D307" s="62"/>
      <c r="E307" s="62"/>
      <c r="F307" s="62"/>
      <c r="G307" s="62"/>
    </row>
    <row r="308" spans="2:7">
      <c r="B308" s="62"/>
      <c r="C308" s="62"/>
      <c r="D308" s="62"/>
      <c r="E308" s="62"/>
      <c r="F308" s="62"/>
      <c r="G308" s="62"/>
    </row>
    <row r="309" spans="2:7">
      <c r="B309" s="62"/>
      <c r="C309" s="62"/>
      <c r="D309" s="62"/>
      <c r="E309" s="62"/>
      <c r="F309" s="62"/>
      <c r="G309" s="62"/>
    </row>
    <row r="310" spans="2:7">
      <c r="B310" s="62"/>
      <c r="C310" s="62"/>
      <c r="D310" s="62"/>
      <c r="E310" s="62"/>
      <c r="F310" s="62"/>
      <c r="G310" s="62"/>
    </row>
    <row r="311" spans="2:7">
      <c r="B311" s="62"/>
      <c r="C311" s="62"/>
      <c r="D311" s="62"/>
      <c r="E311" s="62"/>
      <c r="F311" s="62"/>
      <c r="G311" s="62"/>
    </row>
    <row r="312" spans="2:7" ht="67.5" customHeight="1">
      <c r="B312" s="62"/>
      <c r="C312" s="62"/>
      <c r="D312" s="62"/>
      <c r="E312" s="62"/>
      <c r="F312" s="62"/>
      <c r="G312" s="62"/>
    </row>
    <row r="313" spans="2:7">
      <c r="B313" s="64"/>
      <c r="C313" s="64"/>
      <c r="D313" s="64"/>
      <c r="E313" s="64"/>
      <c r="F313" s="64"/>
    </row>
    <row r="314" spans="2:7">
      <c r="B314" s="64"/>
      <c r="C314" s="64"/>
      <c r="D314" s="64"/>
      <c r="E314" s="64"/>
      <c r="F314" s="64"/>
    </row>
    <row r="315" spans="2:7">
      <c r="B315" s="64"/>
      <c r="C315" s="64"/>
      <c r="D315" s="64"/>
      <c r="E315" s="64"/>
      <c r="F315" s="64"/>
    </row>
    <row r="316" spans="2:7">
      <c r="B316" s="64"/>
      <c r="C316" s="64"/>
      <c r="D316" s="64"/>
      <c r="E316" s="64"/>
      <c r="F316" s="64"/>
    </row>
    <row r="317" spans="2:7">
      <c r="B317" s="64"/>
      <c r="C317" s="64"/>
      <c r="D317" s="64"/>
      <c r="E317" s="64"/>
      <c r="F317" s="64"/>
    </row>
    <row r="318" spans="2:7" ht="12.75" customHeight="1">
      <c r="B318" s="63"/>
      <c r="C318" s="63"/>
      <c r="D318" s="63"/>
      <c r="E318" s="63"/>
      <c r="F318" s="64"/>
    </row>
    <row r="319" spans="2:7">
      <c r="B319" s="63"/>
      <c r="C319" s="63"/>
      <c r="D319" s="63"/>
      <c r="E319" s="63"/>
      <c r="F319" s="64"/>
    </row>
    <row r="320" spans="2:7">
      <c r="B320" s="64"/>
      <c r="C320" s="64"/>
      <c r="D320" s="64"/>
      <c r="E320" s="64"/>
      <c r="F320" s="64"/>
    </row>
    <row r="321" spans="2:6">
      <c r="B321" s="62"/>
      <c r="C321" s="62"/>
      <c r="D321" s="62"/>
      <c r="E321" s="62"/>
      <c r="F321" s="62"/>
    </row>
    <row r="322" spans="2:6">
      <c r="B322" s="62"/>
      <c r="C322" s="62"/>
      <c r="D322" s="62"/>
      <c r="E322" s="62"/>
      <c r="F322" s="62"/>
    </row>
    <row r="323" spans="2:6">
      <c r="B323" s="62"/>
      <c r="C323" s="62"/>
      <c r="D323" s="62"/>
      <c r="E323" s="62"/>
      <c r="F323" s="62"/>
    </row>
    <row r="324" spans="2:6">
      <c r="B324" s="62"/>
      <c r="C324" s="62"/>
      <c r="D324" s="62"/>
      <c r="E324" s="62"/>
      <c r="F324" s="62"/>
    </row>
    <row r="325" spans="2:6">
      <c r="B325" s="62"/>
      <c r="C325" s="62"/>
      <c r="D325" s="62"/>
      <c r="E325" s="62"/>
      <c r="F325" s="62"/>
    </row>
    <row r="326" spans="2:6">
      <c r="B326" s="62"/>
      <c r="C326" s="62"/>
      <c r="D326" s="62"/>
      <c r="E326" s="62"/>
      <c r="F326" s="62"/>
    </row>
    <row r="327" spans="2:6">
      <c r="B327" s="62"/>
      <c r="C327" s="62"/>
      <c r="D327" s="62"/>
      <c r="E327" s="62"/>
      <c r="F327" s="62"/>
    </row>
    <row r="328" spans="2:6">
      <c r="B328" s="62"/>
      <c r="C328" s="62"/>
      <c r="D328" s="62"/>
      <c r="E328" s="62"/>
      <c r="F328" s="62"/>
    </row>
    <row r="329" spans="2:6">
      <c r="B329" s="62"/>
      <c r="C329" s="62"/>
      <c r="D329" s="62"/>
      <c r="E329" s="62"/>
      <c r="F329" s="62"/>
    </row>
    <row r="330" spans="2:6">
      <c r="B330" s="62"/>
      <c r="C330" s="62"/>
      <c r="D330" s="62"/>
      <c r="E330" s="62"/>
      <c r="F330" s="62"/>
    </row>
    <row r="331" spans="2:6">
      <c r="B331" s="62"/>
      <c r="C331" s="65"/>
      <c r="D331" s="62"/>
      <c r="E331" s="62"/>
      <c r="F331" s="62"/>
    </row>
    <row r="332" spans="2:6">
      <c r="B332" s="64"/>
      <c r="C332" s="64"/>
      <c r="D332" s="64"/>
      <c r="E332" s="64"/>
      <c r="F332" s="62"/>
    </row>
    <row r="333" spans="2:6" ht="12.75" customHeight="1">
      <c r="B333" s="63"/>
      <c r="C333" s="63"/>
      <c r="D333" s="63"/>
      <c r="E333" s="63"/>
      <c r="F333" s="62"/>
    </row>
    <row r="334" spans="2:6">
      <c r="B334" s="63"/>
      <c r="C334" s="63"/>
      <c r="D334" s="63"/>
      <c r="E334" s="63"/>
      <c r="F334" s="62"/>
    </row>
    <row r="335" spans="2:6">
      <c r="B335" s="64"/>
      <c r="C335" s="64"/>
      <c r="D335" s="64"/>
      <c r="E335" s="64"/>
      <c r="F335" s="62"/>
    </row>
    <row r="336" spans="2:6">
      <c r="B336" s="62"/>
      <c r="C336" s="62"/>
      <c r="D336" s="62"/>
      <c r="E336" s="62"/>
      <c r="F336" s="62"/>
    </row>
    <row r="337" spans="2:6">
      <c r="B337" s="62"/>
      <c r="C337" s="62"/>
      <c r="D337" s="62"/>
      <c r="E337" s="62"/>
      <c r="F337" s="62"/>
    </row>
    <row r="338" spans="2:6">
      <c r="B338" s="62"/>
      <c r="C338" s="62"/>
      <c r="D338" s="62"/>
      <c r="E338" s="62"/>
      <c r="F338" s="62"/>
    </row>
    <row r="339" spans="2:6">
      <c r="B339" s="62"/>
      <c r="C339" s="62"/>
      <c r="D339" s="62"/>
      <c r="E339" s="62"/>
      <c r="F339" s="62"/>
    </row>
    <row r="340" spans="2:6">
      <c r="B340" s="62"/>
      <c r="C340" s="62"/>
      <c r="D340" s="62"/>
      <c r="E340" s="62"/>
      <c r="F340" s="62"/>
    </row>
    <row r="341" spans="2:6">
      <c r="B341" s="62"/>
      <c r="C341" s="62"/>
      <c r="D341" s="62"/>
      <c r="E341" s="62"/>
      <c r="F341" s="62"/>
    </row>
    <row r="342" spans="2:6">
      <c r="B342" s="62"/>
      <c r="C342" s="62"/>
      <c r="D342" s="62"/>
      <c r="E342" s="62"/>
      <c r="F342" s="62"/>
    </row>
    <row r="343" spans="2:6">
      <c r="B343" s="62"/>
      <c r="C343" s="62"/>
      <c r="D343" s="62"/>
      <c r="E343" s="62"/>
      <c r="F343" s="62"/>
    </row>
    <row r="344" spans="2:6">
      <c r="B344" s="62"/>
      <c r="C344" s="62"/>
      <c r="D344" s="62"/>
      <c r="E344" s="62"/>
      <c r="F344" s="62"/>
    </row>
    <row r="345" spans="2:6">
      <c r="B345" s="62"/>
      <c r="C345" s="62"/>
      <c r="D345" s="62"/>
      <c r="E345" s="62"/>
      <c r="F345" s="62"/>
    </row>
    <row r="346" spans="2:6">
      <c r="B346" s="62"/>
      <c r="C346" s="62"/>
      <c r="D346" s="62"/>
      <c r="E346" s="62"/>
      <c r="F346" s="62"/>
    </row>
    <row r="347" spans="2:6">
      <c r="B347" s="62"/>
      <c r="C347" s="62"/>
      <c r="D347" s="62"/>
      <c r="E347" s="62"/>
      <c r="F347" s="62"/>
    </row>
    <row r="348" spans="2:6">
      <c r="B348" s="62"/>
      <c r="C348" s="62"/>
      <c r="D348" s="62"/>
      <c r="E348" s="62"/>
      <c r="F348" s="62"/>
    </row>
    <row r="349" spans="2:6">
      <c r="B349" s="62"/>
      <c r="C349" s="62"/>
      <c r="D349" s="62"/>
      <c r="E349" s="62"/>
      <c r="F349" s="62"/>
    </row>
    <row r="350" spans="2:6" ht="67.5" customHeight="1">
      <c r="B350" s="62"/>
      <c r="C350" s="62"/>
      <c r="D350" s="62"/>
      <c r="E350" s="62"/>
      <c r="F350" s="62"/>
    </row>
    <row r="351" spans="2:6">
      <c r="B351" s="62"/>
      <c r="C351" s="62"/>
      <c r="D351" s="62"/>
      <c r="E351" s="62"/>
      <c r="F351" s="62"/>
    </row>
    <row r="352" spans="2:6">
      <c r="B352" s="62"/>
      <c r="C352" s="62"/>
      <c r="D352" s="62"/>
      <c r="E352" s="62"/>
      <c r="F352" s="62"/>
    </row>
    <row r="353" spans="2:6">
      <c r="B353" s="62"/>
      <c r="C353" s="62"/>
      <c r="D353" s="62"/>
      <c r="E353" s="62"/>
      <c r="F353" s="62"/>
    </row>
    <row r="354" spans="2:6">
      <c r="B354" s="62"/>
      <c r="C354" s="62"/>
      <c r="D354" s="62"/>
      <c r="E354" s="62"/>
      <c r="F354" s="62"/>
    </row>
    <row r="355" spans="2:6">
      <c r="B355" s="62"/>
      <c r="C355" s="62"/>
      <c r="D355" s="62"/>
      <c r="E355" s="62"/>
      <c r="F355" s="62"/>
    </row>
    <row r="356" spans="2:6">
      <c r="B356" s="62"/>
      <c r="C356" s="62"/>
      <c r="D356" s="62"/>
      <c r="E356" s="62"/>
      <c r="F356" s="62"/>
    </row>
    <row r="357" spans="2:6">
      <c r="B357" s="62"/>
      <c r="C357" s="62"/>
      <c r="D357" s="62"/>
      <c r="E357" s="62"/>
      <c r="F357" s="62"/>
    </row>
    <row r="358" spans="2:6">
      <c r="B358" s="62"/>
      <c r="C358" s="62"/>
      <c r="D358" s="62"/>
      <c r="E358" s="62"/>
      <c r="F358" s="62"/>
    </row>
    <row r="359" spans="2:6">
      <c r="B359" s="62"/>
      <c r="C359" s="62"/>
      <c r="D359" s="62"/>
      <c r="E359" s="62"/>
      <c r="F359" s="62"/>
    </row>
    <row r="360" spans="2:6">
      <c r="B360" s="62"/>
      <c r="C360" s="62"/>
      <c r="D360" s="62"/>
      <c r="E360" s="62"/>
      <c r="F360" s="62"/>
    </row>
    <row r="361" spans="2:6">
      <c r="B361" s="62"/>
      <c r="C361" s="62"/>
      <c r="D361" s="62"/>
      <c r="E361" s="62"/>
      <c r="F361" s="62"/>
    </row>
    <row r="362" spans="2:6">
      <c r="B362" s="62"/>
      <c r="C362" s="62"/>
      <c r="D362" s="62"/>
      <c r="E362" s="62"/>
      <c r="F362" s="62"/>
    </row>
    <row r="363" spans="2:6">
      <c r="B363" s="62"/>
      <c r="C363" s="62"/>
      <c r="D363" s="62"/>
      <c r="E363" s="62"/>
      <c r="F363" s="62"/>
    </row>
    <row r="364" spans="2:6">
      <c r="B364" s="62"/>
      <c r="C364" s="62"/>
      <c r="D364" s="62"/>
      <c r="E364" s="62"/>
      <c r="F364" s="62"/>
    </row>
    <row r="365" spans="2:6">
      <c r="B365" s="62"/>
      <c r="C365" s="62"/>
      <c r="D365" s="62"/>
      <c r="E365" s="62"/>
      <c r="F365" s="62"/>
    </row>
    <row r="366" spans="2:6">
      <c r="B366" s="62"/>
      <c r="C366" s="62"/>
      <c r="D366" s="62"/>
      <c r="E366" s="62"/>
      <c r="F366" s="62"/>
    </row>
    <row r="367" spans="2:6">
      <c r="B367" s="62"/>
      <c r="C367" s="62"/>
      <c r="D367" s="62"/>
      <c r="E367" s="62"/>
      <c r="F367" s="62"/>
    </row>
    <row r="368" spans="2:6">
      <c r="B368" s="62"/>
      <c r="C368" s="62"/>
      <c r="D368" s="62"/>
      <c r="E368" s="62"/>
      <c r="F368" s="62"/>
    </row>
    <row r="369" spans="2:6">
      <c r="B369" s="62"/>
      <c r="C369" s="62"/>
      <c r="D369" s="62"/>
      <c r="E369" s="62"/>
      <c r="F369" s="62"/>
    </row>
    <row r="370" spans="2:6">
      <c r="B370" s="62"/>
      <c r="C370" s="62"/>
      <c r="D370" s="62"/>
      <c r="E370" s="62"/>
      <c r="F370" s="62"/>
    </row>
    <row r="371" spans="2:6">
      <c r="B371" s="62"/>
      <c r="C371" s="62"/>
      <c r="D371" s="62"/>
      <c r="E371" s="62"/>
      <c r="F371" s="62"/>
    </row>
    <row r="372" spans="2:6">
      <c r="B372" s="62"/>
      <c r="C372" s="62"/>
      <c r="D372" s="62"/>
      <c r="E372" s="62"/>
      <c r="F372" s="62"/>
    </row>
    <row r="373" spans="2:6">
      <c r="B373" s="62"/>
      <c r="C373" s="62"/>
      <c r="D373" s="62"/>
      <c r="E373" s="62"/>
      <c r="F373" s="62"/>
    </row>
    <row r="374" spans="2:6">
      <c r="B374" s="62"/>
      <c r="C374" s="62"/>
      <c r="D374" s="62"/>
      <c r="E374" s="62"/>
      <c r="F374" s="62"/>
    </row>
    <row r="375" spans="2:6">
      <c r="B375" s="62"/>
      <c r="C375" s="62"/>
      <c r="D375" s="62"/>
      <c r="E375" s="62"/>
      <c r="F375" s="62"/>
    </row>
    <row r="376" spans="2:6">
      <c r="B376" s="62"/>
      <c r="C376" s="62"/>
      <c r="D376" s="62"/>
      <c r="E376" s="62"/>
      <c r="F376" s="62"/>
    </row>
    <row r="377" spans="2:6">
      <c r="B377" s="62"/>
      <c r="C377" s="62"/>
      <c r="D377" s="62"/>
      <c r="E377" s="62"/>
      <c r="F377" s="62"/>
    </row>
    <row r="378" spans="2:6">
      <c r="B378" s="62"/>
      <c r="C378" s="62"/>
      <c r="D378" s="62"/>
      <c r="E378" s="62"/>
      <c r="F378" s="62"/>
    </row>
    <row r="379" spans="2:6">
      <c r="B379" s="62"/>
      <c r="C379" s="62"/>
      <c r="D379" s="62"/>
      <c r="E379" s="62"/>
      <c r="F379" s="62"/>
    </row>
    <row r="380" spans="2:6">
      <c r="B380" s="62"/>
      <c r="C380" s="62"/>
      <c r="D380" s="62"/>
      <c r="E380" s="62"/>
      <c r="F380" s="62"/>
    </row>
    <row r="381" spans="2:6">
      <c r="B381" s="62"/>
      <c r="C381" s="62"/>
      <c r="D381" s="62"/>
      <c r="E381" s="62"/>
      <c r="F381" s="62"/>
    </row>
    <row r="382" spans="2:6">
      <c r="B382" s="62"/>
      <c r="C382" s="62"/>
      <c r="D382" s="62"/>
      <c r="E382" s="62"/>
      <c r="F382" s="62"/>
    </row>
    <row r="383" spans="2:6">
      <c r="B383" s="62"/>
      <c r="C383" s="62"/>
      <c r="D383" s="62"/>
      <c r="E383" s="62"/>
      <c r="F383" s="62"/>
    </row>
    <row r="384" spans="2:6">
      <c r="B384" s="62"/>
      <c r="C384" s="62"/>
      <c r="D384" s="62"/>
      <c r="E384" s="62"/>
      <c r="F384" s="62"/>
    </row>
    <row r="385" spans="2:6">
      <c r="B385" s="62"/>
      <c r="C385" s="62"/>
      <c r="D385" s="62"/>
      <c r="E385" s="62"/>
      <c r="F385" s="62"/>
    </row>
    <row r="386" spans="2:6">
      <c r="B386" s="62"/>
      <c r="C386" s="62"/>
      <c r="D386" s="62"/>
      <c r="E386" s="62"/>
      <c r="F386" s="62"/>
    </row>
    <row r="387" spans="2:6">
      <c r="B387" s="62"/>
      <c r="C387" s="62"/>
      <c r="D387" s="62"/>
      <c r="E387" s="62"/>
      <c r="F387" s="62"/>
    </row>
    <row r="388" spans="2:6" ht="78.75" customHeight="1">
      <c r="B388" s="62"/>
      <c r="C388" s="62"/>
      <c r="D388" s="62"/>
      <c r="E388" s="62"/>
      <c r="F388" s="62"/>
    </row>
    <row r="389" spans="2:6">
      <c r="B389" s="62"/>
      <c r="C389" s="62"/>
      <c r="D389" s="62"/>
      <c r="E389" s="62"/>
      <c r="F389" s="62"/>
    </row>
    <row r="390" spans="2:6">
      <c r="B390" s="62"/>
      <c r="C390" s="62"/>
      <c r="D390" s="62"/>
      <c r="E390" s="62"/>
      <c r="F390" s="62"/>
    </row>
    <row r="391" spans="2:6">
      <c r="B391" s="62"/>
      <c r="C391" s="62"/>
      <c r="D391" s="62"/>
      <c r="E391" s="62"/>
      <c r="F391" s="62"/>
    </row>
    <row r="392" spans="2:6">
      <c r="B392" s="62"/>
      <c r="C392" s="62"/>
      <c r="D392" s="62"/>
      <c r="E392" s="62"/>
      <c r="F392" s="62"/>
    </row>
    <row r="393" spans="2:6">
      <c r="B393" s="62"/>
      <c r="C393" s="62"/>
      <c r="D393" s="62"/>
      <c r="E393" s="62"/>
      <c r="F393" s="62"/>
    </row>
    <row r="394" spans="2:6" ht="12.75" customHeight="1">
      <c r="B394" s="62"/>
      <c r="C394" s="62"/>
      <c r="D394" s="62"/>
      <c r="E394" s="62"/>
      <c r="F394" s="62"/>
    </row>
    <row r="395" spans="2:6">
      <c r="B395" s="62"/>
      <c r="C395" s="62"/>
      <c r="D395" s="62"/>
      <c r="E395" s="62"/>
      <c r="F395" s="62"/>
    </row>
    <row r="396" spans="2:6">
      <c r="B396" s="62"/>
      <c r="C396" s="62"/>
      <c r="D396" s="62"/>
      <c r="E396" s="62"/>
      <c r="F396" s="62"/>
    </row>
    <row r="397" spans="2:6">
      <c r="B397" s="62"/>
      <c r="C397" s="62"/>
      <c r="D397" s="62"/>
      <c r="E397" s="62"/>
      <c r="F397" s="62"/>
    </row>
    <row r="398" spans="2:6">
      <c r="B398" s="62"/>
      <c r="C398" s="62"/>
      <c r="D398" s="62"/>
      <c r="E398" s="62"/>
      <c r="F398" s="62"/>
    </row>
    <row r="399" spans="2:6">
      <c r="B399" s="62"/>
      <c r="C399" s="62"/>
      <c r="D399" s="62"/>
      <c r="E399" s="62"/>
      <c r="F399" s="62"/>
    </row>
    <row r="400" spans="2:6">
      <c r="B400" s="62"/>
      <c r="C400" s="62"/>
      <c r="D400" s="62"/>
      <c r="E400" s="62"/>
      <c r="F400" s="62"/>
    </row>
    <row r="401" spans="2:6">
      <c r="B401" s="62"/>
      <c r="C401" s="62"/>
      <c r="D401" s="62"/>
      <c r="E401" s="62"/>
      <c r="F401" s="62"/>
    </row>
    <row r="402" spans="2:6">
      <c r="B402" s="62"/>
      <c r="C402" s="62"/>
      <c r="D402" s="62"/>
      <c r="E402" s="62"/>
      <c r="F402" s="62"/>
    </row>
    <row r="403" spans="2:6">
      <c r="B403" s="62"/>
      <c r="C403" s="62"/>
      <c r="D403" s="62"/>
      <c r="E403" s="62"/>
      <c r="F403" s="62"/>
    </row>
    <row r="404" spans="2:6">
      <c r="B404" s="62"/>
      <c r="C404" s="62"/>
      <c r="D404" s="62"/>
      <c r="E404" s="62"/>
      <c r="F404" s="62"/>
    </row>
    <row r="405" spans="2:6">
      <c r="B405" s="62"/>
      <c r="C405" s="62"/>
      <c r="D405" s="62"/>
      <c r="E405" s="62"/>
      <c r="F405" s="62"/>
    </row>
    <row r="406" spans="2:6">
      <c r="B406" s="62"/>
      <c r="C406" s="62"/>
      <c r="D406" s="62"/>
      <c r="E406" s="62"/>
      <c r="F406" s="62"/>
    </row>
    <row r="407" spans="2:6">
      <c r="B407" s="62"/>
      <c r="C407" s="62"/>
      <c r="D407" s="62"/>
      <c r="E407" s="62"/>
      <c r="F407" s="62"/>
    </row>
    <row r="408" spans="2:6">
      <c r="B408" s="62"/>
      <c r="C408" s="62"/>
      <c r="D408" s="62"/>
      <c r="E408" s="62"/>
      <c r="F408" s="62"/>
    </row>
    <row r="409" spans="2:6">
      <c r="B409" s="62"/>
      <c r="C409" s="62"/>
      <c r="D409" s="62"/>
      <c r="E409" s="62"/>
      <c r="F409" s="62"/>
    </row>
    <row r="410" spans="2:6">
      <c r="B410" s="62"/>
      <c r="C410" s="62"/>
      <c r="D410" s="62"/>
      <c r="E410" s="62"/>
      <c r="F410" s="62"/>
    </row>
    <row r="411" spans="2:6">
      <c r="B411" s="62"/>
      <c r="C411" s="62"/>
      <c r="D411" s="62"/>
      <c r="E411" s="62"/>
      <c r="F411" s="62"/>
    </row>
    <row r="412" spans="2:6">
      <c r="B412" s="62"/>
      <c r="C412" s="62"/>
      <c r="D412" s="62"/>
      <c r="E412" s="62"/>
      <c r="F412" s="62"/>
    </row>
    <row r="413" spans="2:6">
      <c r="B413" s="62"/>
      <c r="C413" s="62"/>
      <c r="D413" s="62"/>
      <c r="E413" s="62"/>
      <c r="F413" s="62"/>
    </row>
    <row r="414" spans="2:6">
      <c r="B414" s="62"/>
      <c r="C414" s="62"/>
      <c r="D414" s="62"/>
      <c r="E414" s="62"/>
      <c r="F414" s="62"/>
    </row>
    <row r="415" spans="2:6">
      <c r="B415" s="62"/>
      <c r="C415" s="62"/>
      <c r="D415" s="62"/>
      <c r="E415" s="62"/>
      <c r="F415" s="62"/>
    </row>
    <row r="416" spans="2:6">
      <c r="B416" s="62"/>
      <c r="C416" s="62"/>
      <c r="D416" s="62"/>
      <c r="E416" s="62"/>
      <c r="F416" s="62"/>
    </row>
    <row r="417" spans="2:6">
      <c r="B417" s="62"/>
      <c r="C417" s="62"/>
      <c r="D417" s="62"/>
      <c r="E417" s="62"/>
      <c r="F417" s="62"/>
    </row>
    <row r="418" spans="2:6">
      <c r="B418" s="62"/>
      <c r="C418" s="62"/>
      <c r="D418" s="62"/>
      <c r="E418" s="62"/>
      <c r="F418" s="62"/>
    </row>
    <row r="419" spans="2:6">
      <c r="B419" s="62"/>
      <c r="C419" s="62"/>
      <c r="D419" s="62"/>
      <c r="E419" s="62"/>
      <c r="F419" s="62"/>
    </row>
    <row r="420" spans="2:6">
      <c r="B420" s="62"/>
      <c r="C420" s="62"/>
      <c r="D420" s="62"/>
      <c r="E420" s="62"/>
      <c r="F420" s="62"/>
    </row>
    <row r="421" spans="2:6">
      <c r="B421" s="62"/>
      <c r="C421" s="62"/>
      <c r="D421" s="62"/>
      <c r="E421" s="62"/>
      <c r="F421" s="62"/>
    </row>
    <row r="422" spans="2:6">
      <c r="B422" s="62"/>
      <c r="C422" s="62"/>
      <c r="D422" s="62"/>
      <c r="E422" s="62"/>
      <c r="F422" s="62"/>
    </row>
    <row r="423" spans="2:6">
      <c r="B423" s="62"/>
      <c r="C423" s="62"/>
      <c r="D423" s="62"/>
      <c r="E423" s="62"/>
      <c r="F423" s="62"/>
    </row>
    <row r="424" spans="2:6">
      <c r="B424" s="62"/>
      <c r="C424" s="62"/>
      <c r="D424" s="62"/>
      <c r="E424" s="62"/>
      <c r="F424" s="62"/>
    </row>
    <row r="425" spans="2:6">
      <c r="B425" s="62"/>
      <c r="C425" s="62"/>
      <c r="D425" s="62"/>
      <c r="E425" s="62"/>
      <c r="F425" s="62"/>
    </row>
    <row r="426" spans="2:6" ht="67.5" customHeight="1">
      <c r="B426" s="62"/>
      <c r="C426" s="62"/>
      <c r="D426" s="62"/>
      <c r="E426" s="62"/>
      <c r="F426" s="62"/>
    </row>
    <row r="427" spans="2:6">
      <c r="B427" s="62"/>
      <c r="C427" s="62"/>
      <c r="D427" s="62"/>
      <c r="E427" s="62"/>
      <c r="F427" s="62"/>
    </row>
    <row r="428" spans="2:6">
      <c r="B428" s="62"/>
      <c r="C428" s="62"/>
      <c r="D428" s="62"/>
      <c r="E428" s="62"/>
      <c r="F428" s="62"/>
    </row>
    <row r="429" spans="2:6">
      <c r="B429" s="62"/>
      <c r="C429" s="62"/>
      <c r="D429" s="62"/>
      <c r="E429" s="62"/>
      <c r="F429" s="62"/>
    </row>
    <row r="430" spans="2:6">
      <c r="B430" s="62"/>
      <c r="C430" s="62"/>
      <c r="D430" s="62"/>
      <c r="E430" s="62"/>
      <c r="F430" s="62"/>
    </row>
    <row r="431" spans="2:6">
      <c r="B431" s="62"/>
      <c r="C431" s="62"/>
      <c r="D431" s="62"/>
      <c r="E431" s="62"/>
      <c r="F431" s="62"/>
    </row>
    <row r="432" spans="2:6">
      <c r="B432" s="62"/>
      <c r="C432" s="62"/>
      <c r="D432" s="62"/>
      <c r="E432" s="62"/>
      <c r="F432" s="62"/>
    </row>
    <row r="433" spans="2:6">
      <c r="B433" s="62"/>
      <c r="C433" s="62"/>
      <c r="D433" s="62"/>
      <c r="E433" s="62"/>
      <c r="F433" s="62"/>
    </row>
    <row r="434" spans="2:6">
      <c r="B434" s="62"/>
      <c r="C434" s="62"/>
      <c r="D434" s="62"/>
      <c r="E434" s="62"/>
      <c r="F434" s="62"/>
    </row>
    <row r="435" spans="2:6">
      <c r="B435" s="62"/>
      <c r="C435" s="62"/>
      <c r="D435" s="62"/>
      <c r="E435" s="62"/>
      <c r="F435" s="62"/>
    </row>
    <row r="436" spans="2:6">
      <c r="B436" s="62"/>
      <c r="C436" s="62"/>
      <c r="D436" s="62"/>
      <c r="E436" s="62"/>
      <c r="F436" s="62"/>
    </row>
    <row r="437" spans="2:6">
      <c r="B437" s="62"/>
      <c r="C437" s="62"/>
      <c r="D437" s="62"/>
      <c r="E437" s="62"/>
      <c r="F437" s="62"/>
    </row>
    <row r="438" spans="2:6">
      <c r="B438" s="62"/>
      <c r="C438" s="62"/>
      <c r="D438" s="62"/>
      <c r="E438" s="62"/>
      <c r="F438" s="62"/>
    </row>
    <row r="439" spans="2:6">
      <c r="B439" s="62"/>
      <c r="C439" s="62"/>
      <c r="D439" s="62"/>
      <c r="E439" s="62"/>
      <c r="F439" s="62"/>
    </row>
    <row r="440" spans="2:6">
      <c r="B440" s="62"/>
      <c r="C440" s="62"/>
      <c r="D440" s="62"/>
      <c r="E440" s="62"/>
      <c r="F440" s="62"/>
    </row>
    <row r="441" spans="2:6">
      <c r="B441" s="62"/>
      <c r="C441" s="62"/>
      <c r="D441" s="62"/>
      <c r="E441" s="62"/>
      <c r="F441" s="62"/>
    </row>
    <row r="442" spans="2:6">
      <c r="B442" s="62"/>
      <c r="C442" s="62"/>
      <c r="D442" s="62"/>
      <c r="E442" s="62"/>
      <c r="F442" s="62"/>
    </row>
    <row r="443" spans="2:6">
      <c r="B443" s="62"/>
      <c r="C443" s="62"/>
      <c r="D443" s="62"/>
      <c r="E443" s="62"/>
      <c r="F443" s="62"/>
    </row>
    <row r="444" spans="2:6">
      <c r="B444" s="62"/>
      <c r="C444" s="62"/>
      <c r="D444" s="62"/>
      <c r="E444" s="62"/>
      <c r="F444" s="62"/>
    </row>
    <row r="445" spans="2:6">
      <c r="B445" s="62"/>
      <c r="C445" s="62"/>
      <c r="D445" s="62"/>
      <c r="E445" s="62"/>
      <c r="F445" s="62"/>
    </row>
    <row r="446" spans="2:6">
      <c r="B446" s="62"/>
      <c r="C446" s="62"/>
      <c r="D446" s="62"/>
      <c r="E446" s="62"/>
      <c r="F446" s="62"/>
    </row>
    <row r="447" spans="2:6">
      <c r="B447" s="62"/>
      <c r="C447" s="62"/>
      <c r="D447" s="62"/>
      <c r="E447" s="62"/>
      <c r="F447" s="62"/>
    </row>
    <row r="448" spans="2:6">
      <c r="B448" s="62"/>
      <c r="C448" s="62"/>
      <c r="D448" s="62"/>
      <c r="E448" s="62"/>
      <c r="F448" s="62"/>
    </row>
    <row r="449" spans="2:6">
      <c r="B449" s="62"/>
      <c r="C449" s="62"/>
      <c r="D449" s="62"/>
      <c r="E449" s="62"/>
      <c r="F449" s="62"/>
    </row>
    <row r="450" spans="2:6">
      <c r="B450" s="62"/>
      <c r="C450" s="62"/>
      <c r="D450" s="62"/>
      <c r="E450" s="62"/>
      <c r="F450" s="62"/>
    </row>
    <row r="451" spans="2:6">
      <c r="B451" s="62"/>
      <c r="C451" s="62"/>
      <c r="D451" s="62"/>
      <c r="E451" s="62"/>
      <c r="F451" s="62"/>
    </row>
    <row r="452" spans="2:6">
      <c r="B452" s="62"/>
      <c r="C452" s="62"/>
      <c r="D452" s="62"/>
      <c r="E452" s="62"/>
      <c r="F452" s="62"/>
    </row>
    <row r="453" spans="2:6">
      <c r="B453" s="62"/>
      <c r="C453" s="62"/>
      <c r="D453" s="62"/>
      <c r="E453" s="62"/>
      <c r="F453" s="62"/>
    </row>
    <row r="454" spans="2:6">
      <c r="B454" s="62"/>
      <c r="C454" s="62"/>
      <c r="D454" s="62"/>
      <c r="E454" s="62"/>
      <c r="F454" s="62"/>
    </row>
    <row r="455" spans="2:6">
      <c r="B455" s="62"/>
      <c r="C455" s="62"/>
      <c r="D455" s="62"/>
      <c r="E455" s="62"/>
      <c r="F455" s="62"/>
    </row>
    <row r="456" spans="2:6">
      <c r="B456" s="62"/>
      <c r="C456" s="62"/>
      <c r="D456" s="62"/>
      <c r="E456" s="62"/>
      <c r="F456" s="62"/>
    </row>
    <row r="457" spans="2:6">
      <c r="B457" s="62"/>
      <c r="C457" s="62"/>
      <c r="D457" s="62"/>
      <c r="E457" s="62"/>
      <c r="F457" s="62"/>
    </row>
    <row r="458" spans="2:6">
      <c r="B458" s="62"/>
      <c r="C458" s="62"/>
      <c r="D458" s="62"/>
      <c r="E458" s="62"/>
      <c r="F458" s="62"/>
    </row>
    <row r="459" spans="2:6">
      <c r="B459" s="62"/>
      <c r="C459" s="62"/>
      <c r="D459" s="62"/>
      <c r="E459" s="62"/>
      <c r="F459" s="62"/>
    </row>
    <row r="460" spans="2:6">
      <c r="B460" s="62"/>
      <c r="C460" s="62"/>
      <c r="D460" s="62"/>
      <c r="E460" s="62"/>
      <c r="F460" s="62"/>
    </row>
    <row r="461" spans="2:6">
      <c r="B461" s="62"/>
      <c r="C461" s="62"/>
      <c r="D461" s="62"/>
      <c r="E461" s="62"/>
      <c r="F461" s="62"/>
    </row>
    <row r="462" spans="2:6">
      <c r="B462" s="62"/>
      <c r="C462" s="62"/>
      <c r="D462" s="62"/>
      <c r="E462" s="62"/>
      <c r="F462" s="62"/>
    </row>
    <row r="463" spans="2:6">
      <c r="B463" s="62"/>
      <c r="C463" s="62"/>
      <c r="D463" s="62"/>
      <c r="E463" s="62"/>
      <c r="F463" s="62"/>
    </row>
    <row r="464" spans="2:6" ht="78.75" customHeight="1">
      <c r="B464" s="62"/>
      <c r="C464" s="62"/>
      <c r="D464" s="62"/>
      <c r="E464" s="62"/>
      <c r="F464" s="62"/>
    </row>
    <row r="465" spans="2:6">
      <c r="B465" s="62"/>
      <c r="C465" s="62"/>
      <c r="D465" s="62"/>
      <c r="E465" s="62"/>
      <c r="F465" s="62"/>
    </row>
    <row r="466" spans="2:6">
      <c r="B466" s="62"/>
      <c r="C466" s="62"/>
      <c r="D466" s="62"/>
      <c r="E466" s="62"/>
      <c r="F466" s="62"/>
    </row>
    <row r="467" spans="2:6">
      <c r="B467" s="62"/>
      <c r="C467" s="62"/>
      <c r="D467" s="62"/>
      <c r="E467" s="62"/>
      <c r="F467" s="62"/>
    </row>
    <row r="468" spans="2:6">
      <c r="B468" s="62"/>
      <c r="C468" s="62"/>
      <c r="D468" s="62"/>
      <c r="E468" s="62"/>
      <c r="F468" s="62"/>
    </row>
    <row r="469" spans="2:6">
      <c r="B469" s="62"/>
      <c r="C469" s="62"/>
      <c r="D469" s="62"/>
      <c r="E469" s="62"/>
      <c r="F469" s="62"/>
    </row>
    <row r="470" spans="2:6">
      <c r="B470" s="62"/>
      <c r="C470" s="62"/>
      <c r="D470" s="62"/>
      <c r="E470" s="62"/>
      <c r="F470" s="62"/>
    </row>
    <row r="471" spans="2:6">
      <c r="B471" s="62"/>
      <c r="C471" s="62"/>
      <c r="D471" s="62"/>
      <c r="E471" s="62"/>
      <c r="F471" s="62"/>
    </row>
    <row r="472" spans="2:6">
      <c r="B472" s="62"/>
      <c r="C472" s="62"/>
      <c r="D472" s="62"/>
      <c r="E472" s="62"/>
      <c r="F472" s="62"/>
    </row>
    <row r="473" spans="2:6">
      <c r="B473" s="62"/>
      <c r="C473" s="62"/>
      <c r="D473" s="62"/>
      <c r="E473" s="62"/>
      <c r="F473" s="62"/>
    </row>
    <row r="474" spans="2:6">
      <c r="B474" s="62"/>
      <c r="C474" s="62"/>
      <c r="D474" s="62"/>
      <c r="E474" s="62"/>
      <c r="F474" s="62"/>
    </row>
    <row r="475" spans="2:6">
      <c r="B475" s="62"/>
      <c r="C475" s="62"/>
      <c r="D475" s="62"/>
      <c r="E475" s="62"/>
      <c r="F475" s="62"/>
    </row>
    <row r="476" spans="2:6">
      <c r="B476" s="62"/>
      <c r="C476" s="62"/>
      <c r="D476" s="62"/>
      <c r="E476" s="62"/>
      <c r="F476" s="62"/>
    </row>
    <row r="477" spans="2:6">
      <c r="B477" s="62"/>
      <c r="C477" s="62"/>
      <c r="D477" s="62"/>
      <c r="E477" s="62"/>
      <c r="F477" s="62"/>
    </row>
    <row r="478" spans="2:6">
      <c r="B478" s="62"/>
      <c r="C478" s="62"/>
      <c r="D478" s="62"/>
      <c r="E478" s="62"/>
      <c r="F478" s="62"/>
    </row>
    <row r="479" spans="2:6">
      <c r="B479" s="62"/>
      <c r="C479" s="62"/>
      <c r="D479" s="62"/>
      <c r="E479" s="62"/>
      <c r="F479" s="62"/>
    </row>
    <row r="480" spans="2:6">
      <c r="B480" s="62"/>
      <c r="C480" s="62"/>
      <c r="D480" s="62"/>
      <c r="E480" s="62"/>
      <c r="F480" s="62"/>
    </row>
    <row r="481" spans="2:6">
      <c r="B481" s="62"/>
      <c r="C481" s="62"/>
      <c r="D481" s="62"/>
      <c r="E481" s="62"/>
      <c r="F481" s="62"/>
    </row>
    <row r="482" spans="2:6">
      <c r="B482" s="62"/>
      <c r="C482" s="62"/>
      <c r="D482" s="62"/>
      <c r="E482" s="62"/>
      <c r="F482" s="62"/>
    </row>
    <row r="483" spans="2:6">
      <c r="B483" s="62"/>
      <c r="C483" s="62"/>
      <c r="D483" s="62"/>
      <c r="E483" s="62"/>
      <c r="F483" s="62"/>
    </row>
    <row r="484" spans="2:6">
      <c r="B484" s="62"/>
      <c r="C484" s="62"/>
      <c r="D484" s="62"/>
      <c r="E484" s="62"/>
      <c r="F484" s="62"/>
    </row>
    <row r="485" spans="2:6">
      <c r="B485" s="62"/>
      <c r="C485" s="62"/>
      <c r="D485" s="62"/>
      <c r="E485" s="62"/>
      <c r="F485" s="62"/>
    </row>
    <row r="486" spans="2:6">
      <c r="B486" s="62"/>
      <c r="C486" s="62"/>
      <c r="D486" s="62"/>
      <c r="E486" s="62"/>
      <c r="F486" s="62"/>
    </row>
    <row r="487" spans="2:6">
      <c r="B487" s="62"/>
      <c r="C487" s="62"/>
      <c r="D487" s="62"/>
      <c r="E487" s="62"/>
      <c r="F487" s="62"/>
    </row>
    <row r="488" spans="2:6">
      <c r="B488" s="62"/>
      <c r="C488" s="62"/>
      <c r="D488" s="62"/>
      <c r="E488" s="62"/>
      <c r="F488" s="62"/>
    </row>
    <row r="489" spans="2:6">
      <c r="B489" s="62"/>
      <c r="C489" s="62"/>
      <c r="D489" s="62"/>
      <c r="E489" s="62"/>
      <c r="F489" s="62"/>
    </row>
    <row r="490" spans="2:6">
      <c r="B490" s="62"/>
      <c r="C490" s="62"/>
      <c r="D490" s="62"/>
      <c r="E490" s="62"/>
      <c r="F490" s="62"/>
    </row>
    <row r="491" spans="2:6">
      <c r="B491" s="62"/>
      <c r="C491" s="62"/>
      <c r="D491" s="62"/>
      <c r="E491" s="62"/>
      <c r="F491" s="62"/>
    </row>
    <row r="492" spans="2:6">
      <c r="B492" s="62"/>
      <c r="C492" s="62"/>
      <c r="D492" s="62"/>
      <c r="E492" s="62"/>
      <c r="F492" s="62"/>
    </row>
    <row r="493" spans="2:6">
      <c r="B493" s="62"/>
      <c r="C493" s="62"/>
      <c r="D493" s="62"/>
      <c r="E493" s="62"/>
      <c r="F493" s="62"/>
    </row>
    <row r="494" spans="2:6">
      <c r="B494" s="62"/>
      <c r="C494" s="62"/>
      <c r="D494" s="62"/>
      <c r="E494" s="62"/>
      <c r="F494" s="62"/>
    </row>
    <row r="495" spans="2:6">
      <c r="B495" s="62"/>
      <c r="C495" s="62"/>
      <c r="D495" s="62"/>
      <c r="E495" s="62"/>
      <c r="F495" s="62"/>
    </row>
    <row r="496" spans="2:6">
      <c r="B496" s="62"/>
      <c r="C496" s="62"/>
      <c r="D496" s="62"/>
      <c r="E496" s="62"/>
      <c r="F496" s="62"/>
    </row>
    <row r="497" spans="2:6" ht="12.75" customHeight="1">
      <c r="B497" s="66"/>
      <c r="C497" s="66"/>
      <c r="D497" s="62"/>
      <c r="E497" s="62"/>
      <c r="F497" s="62"/>
    </row>
    <row r="498" spans="2:6" ht="12.75" customHeight="1">
      <c r="B498" s="66"/>
      <c r="C498" s="66"/>
      <c r="D498" s="62"/>
      <c r="E498" s="62"/>
      <c r="F498" s="62"/>
    </row>
    <row r="499" spans="2:6" ht="12.75" customHeight="1">
      <c r="B499" s="66"/>
      <c r="C499" s="66"/>
      <c r="D499" s="62"/>
      <c r="E499" s="62"/>
      <c r="F499" s="62"/>
    </row>
    <row r="500" spans="2:6" ht="12.75" customHeight="1">
      <c r="B500" s="66"/>
      <c r="C500" s="66"/>
      <c r="D500" s="62"/>
      <c r="E500" s="62"/>
      <c r="F500" s="62"/>
    </row>
    <row r="501" spans="2:6" ht="12.75" customHeight="1">
      <c r="B501" s="66"/>
      <c r="C501" s="66"/>
      <c r="D501" s="62"/>
      <c r="E501" s="62"/>
      <c r="F501" s="62"/>
    </row>
    <row r="502" spans="2:6" ht="63.75" customHeight="1">
      <c r="B502" s="66"/>
      <c r="C502" s="66"/>
      <c r="D502" s="62"/>
      <c r="E502" s="62"/>
      <c r="F502" s="62"/>
    </row>
    <row r="503" spans="2:6" ht="12.75" customHeight="1">
      <c r="B503" s="66"/>
      <c r="C503" s="66"/>
      <c r="D503" s="62"/>
      <c r="E503" s="62"/>
      <c r="F503" s="62"/>
    </row>
    <row r="504" spans="2:6" ht="12.75" customHeight="1">
      <c r="B504" s="66"/>
      <c r="C504" s="66"/>
      <c r="D504" s="62"/>
      <c r="E504" s="62"/>
      <c r="F504" s="62"/>
    </row>
    <row r="505" spans="2:6" ht="12.75" customHeight="1">
      <c r="B505" s="66"/>
      <c r="C505" s="66"/>
      <c r="D505" s="62"/>
      <c r="E505" s="62"/>
      <c r="F505" s="62"/>
    </row>
    <row r="506" spans="2:6" ht="12.75" customHeight="1">
      <c r="B506" s="66"/>
      <c r="C506" s="66"/>
      <c r="D506" s="62"/>
      <c r="E506" s="62"/>
      <c r="F506" s="62"/>
    </row>
    <row r="507" spans="2:6" ht="12.75" customHeight="1">
      <c r="B507" s="66"/>
      <c r="C507" s="66"/>
      <c r="D507" s="62"/>
      <c r="E507" s="62"/>
      <c r="F507" s="62"/>
    </row>
    <row r="508" spans="2:6">
      <c r="B508" s="66"/>
      <c r="C508" s="66"/>
      <c r="D508" s="62"/>
      <c r="E508" s="62"/>
      <c r="F508" s="62"/>
    </row>
    <row r="509" spans="2:6" ht="12.95" customHeight="1">
      <c r="B509" s="66"/>
      <c r="C509" s="66"/>
      <c r="D509" s="62"/>
      <c r="E509" s="62"/>
      <c r="F509" s="62"/>
    </row>
    <row r="510" spans="2:6">
      <c r="B510" s="66"/>
      <c r="C510" s="66"/>
      <c r="D510" s="62"/>
      <c r="E510" s="62"/>
      <c r="F510" s="62"/>
    </row>
    <row r="511" spans="2:6">
      <c r="B511" s="66"/>
      <c r="C511" s="66"/>
      <c r="D511" s="62"/>
      <c r="E511" s="62"/>
      <c r="F511" s="62"/>
    </row>
    <row r="512" spans="2:6">
      <c r="B512" s="66"/>
      <c r="C512" s="66"/>
      <c r="D512" s="62"/>
      <c r="E512" s="62"/>
      <c r="F512" s="62"/>
    </row>
    <row r="513" spans="2:6">
      <c r="B513" s="66"/>
      <c r="C513" s="66"/>
      <c r="D513" s="62"/>
      <c r="E513" s="62"/>
      <c r="F513" s="62"/>
    </row>
    <row r="514" spans="2:6">
      <c r="B514" s="66"/>
      <c r="C514" s="66"/>
      <c r="D514" s="62"/>
      <c r="E514" s="62"/>
      <c r="F514" s="62"/>
    </row>
    <row r="515" spans="2:6">
      <c r="B515" s="66"/>
      <c r="C515" s="66"/>
      <c r="D515" s="62"/>
      <c r="E515" s="62"/>
      <c r="F515" s="62"/>
    </row>
    <row r="516" spans="2:6">
      <c r="B516" s="66"/>
      <c r="C516" s="66"/>
      <c r="D516" s="62"/>
      <c r="E516" s="62"/>
      <c r="F516" s="62"/>
    </row>
    <row r="517" spans="2:6">
      <c r="B517" s="66"/>
      <c r="C517" s="66"/>
      <c r="D517" s="62"/>
      <c r="E517" s="62"/>
      <c r="F517" s="62"/>
    </row>
    <row r="518" spans="2:6">
      <c r="B518" s="66"/>
      <c r="C518" s="66"/>
      <c r="D518" s="62"/>
      <c r="E518" s="62"/>
      <c r="F518" s="62"/>
    </row>
    <row r="519" spans="2:6">
      <c r="B519" s="66"/>
      <c r="C519" s="66"/>
      <c r="D519" s="62"/>
      <c r="E519" s="62"/>
      <c r="F519" s="62"/>
    </row>
    <row r="520" spans="2:6">
      <c r="B520" s="66"/>
      <c r="C520" s="66"/>
      <c r="D520" s="62"/>
      <c r="E520" s="62"/>
      <c r="F520" s="62"/>
    </row>
    <row r="521" spans="2:6">
      <c r="B521" s="66"/>
      <c r="C521" s="66"/>
      <c r="D521" s="62"/>
      <c r="E521" s="62"/>
      <c r="F521" s="62"/>
    </row>
    <row r="522" spans="2:6">
      <c r="B522" s="66"/>
      <c r="C522" s="66"/>
      <c r="D522" s="62"/>
      <c r="E522" s="62"/>
      <c r="F522" s="62"/>
    </row>
    <row r="523" spans="2:6">
      <c r="B523" s="66"/>
      <c r="C523" s="66"/>
      <c r="D523" s="62"/>
      <c r="E523" s="62"/>
      <c r="F523" s="62"/>
    </row>
    <row r="524" spans="2:6">
      <c r="B524" s="66"/>
      <c r="C524" s="66"/>
      <c r="D524" s="62"/>
      <c r="E524" s="62"/>
      <c r="F524" s="62"/>
    </row>
    <row r="525" spans="2:6">
      <c r="B525" s="66"/>
      <c r="C525" s="66"/>
      <c r="D525" s="62"/>
      <c r="E525" s="62"/>
      <c r="F525" s="62"/>
    </row>
    <row r="526" spans="2:6">
      <c r="B526" s="66"/>
      <c r="C526" s="66"/>
      <c r="D526" s="62"/>
      <c r="E526" s="62"/>
      <c r="F526" s="62"/>
    </row>
    <row r="527" spans="2:6">
      <c r="B527" s="62"/>
      <c r="C527" s="62"/>
      <c r="D527" s="62"/>
      <c r="E527" s="62"/>
      <c r="F527" s="62"/>
    </row>
    <row r="528" spans="2:6">
      <c r="B528" s="62"/>
      <c r="C528" s="62"/>
      <c r="D528" s="62"/>
      <c r="E528" s="62"/>
      <c r="F528" s="62"/>
    </row>
    <row r="529" spans="2:6">
      <c r="B529" s="62"/>
      <c r="C529" s="62"/>
      <c r="D529" s="62"/>
      <c r="E529" s="62"/>
      <c r="F529" s="62"/>
    </row>
    <row r="530" spans="2:6">
      <c r="B530" s="62"/>
      <c r="C530" s="62"/>
      <c r="D530" s="62"/>
      <c r="E530" s="62"/>
      <c r="F530" s="62"/>
    </row>
    <row r="531" spans="2:6">
      <c r="B531" s="62"/>
      <c r="C531" s="62"/>
      <c r="D531" s="62"/>
      <c r="E531" s="62"/>
      <c r="F531" s="62"/>
    </row>
    <row r="532" spans="2:6">
      <c r="B532" s="62"/>
      <c r="C532" s="62"/>
      <c r="D532" s="62"/>
      <c r="E532" s="62"/>
      <c r="F532" s="62"/>
    </row>
    <row r="533" spans="2:6">
      <c r="B533" s="64"/>
      <c r="C533" s="64"/>
      <c r="D533" s="64"/>
      <c r="E533" s="64"/>
      <c r="F533" s="62"/>
    </row>
    <row r="534" spans="2:6" ht="12.75" customHeight="1">
      <c r="B534" s="63"/>
      <c r="C534" s="63"/>
      <c r="D534" s="63"/>
      <c r="E534" s="63"/>
      <c r="F534" s="62"/>
    </row>
    <row r="535" spans="2:6">
      <c r="B535" s="63"/>
      <c r="C535" s="63"/>
      <c r="D535" s="63"/>
      <c r="E535" s="63"/>
      <c r="F535" s="62"/>
    </row>
    <row r="536" spans="2:6">
      <c r="B536" s="64"/>
      <c r="C536" s="64"/>
      <c r="D536" s="64"/>
      <c r="E536" s="64"/>
      <c r="F536" s="62"/>
    </row>
    <row r="537" spans="2:6">
      <c r="B537" s="64"/>
      <c r="C537" s="64"/>
      <c r="D537" s="64"/>
      <c r="E537" s="64"/>
      <c r="F537" s="62"/>
    </row>
    <row r="538" spans="2:6">
      <c r="B538" s="64"/>
      <c r="C538" s="64"/>
      <c r="D538" s="64"/>
      <c r="E538" s="64"/>
      <c r="F538" s="62"/>
    </row>
    <row r="539" spans="2:6">
      <c r="B539" s="64"/>
      <c r="C539" s="64"/>
      <c r="D539" s="64"/>
      <c r="E539" s="64"/>
      <c r="F539" s="62"/>
    </row>
    <row r="540" spans="2:6" ht="67.5" customHeight="1">
      <c r="B540" s="64"/>
      <c r="C540" s="64"/>
      <c r="D540" s="64"/>
      <c r="E540" s="64"/>
      <c r="F540" s="62"/>
    </row>
    <row r="541" spans="2:6">
      <c r="B541" s="64"/>
      <c r="C541" s="64"/>
      <c r="D541" s="64"/>
      <c r="E541" s="64"/>
      <c r="F541" s="62"/>
    </row>
    <row r="542" spans="2:6">
      <c r="B542" s="64"/>
      <c r="C542" s="64"/>
      <c r="D542" s="64"/>
      <c r="E542" s="64"/>
      <c r="F542" s="62"/>
    </row>
    <row r="543" spans="2:6">
      <c r="B543" s="64"/>
      <c r="C543" s="64"/>
      <c r="D543" s="64"/>
      <c r="E543" s="64"/>
      <c r="F543" s="62"/>
    </row>
    <row r="544" spans="2:6">
      <c r="B544" s="64"/>
      <c r="C544" s="64"/>
      <c r="D544" s="64"/>
      <c r="E544" s="64"/>
      <c r="F544" s="62"/>
    </row>
    <row r="545" spans="2:6">
      <c r="B545" s="64"/>
      <c r="C545" s="64"/>
      <c r="D545" s="64"/>
      <c r="E545" s="64"/>
      <c r="F545" s="62"/>
    </row>
    <row r="546" spans="2:6">
      <c r="B546" s="62"/>
      <c r="C546" s="62"/>
      <c r="D546" s="62"/>
      <c r="E546" s="62"/>
      <c r="F546" s="62"/>
    </row>
    <row r="547" spans="2:6">
      <c r="B547" s="62"/>
      <c r="C547" s="62"/>
      <c r="D547" s="62"/>
      <c r="E547" s="62"/>
      <c r="F547" s="62"/>
    </row>
    <row r="548" spans="2:6">
      <c r="B548" s="62"/>
      <c r="C548" s="62"/>
      <c r="D548" s="62"/>
      <c r="E548" s="62"/>
      <c r="F548" s="62"/>
    </row>
    <row r="549" spans="2:6">
      <c r="B549" s="62"/>
      <c r="C549" s="62"/>
      <c r="D549" s="62"/>
      <c r="E549" s="62"/>
      <c r="F549" s="62"/>
    </row>
    <row r="550" spans="2:6">
      <c r="B550" s="62"/>
      <c r="C550" s="62"/>
      <c r="D550" s="62"/>
      <c r="E550" s="62"/>
      <c r="F550" s="62"/>
    </row>
    <row r="551" spans="2:6">
      <c r="B551" s="62"/>
      <c r="C551" s="62"/>
      <c r="D551" s="62"/>
      <c r="E551" s="62"/>
      <c r="F551" s="62"/>
    </row>
    <row r="552" spans="2:6">
      <c r="B552" s="62"/>
      <c r="C552" s="62"/>
      <c r="D552" s="62"/>
      <c r="E552" s="62"/>
      <c r="F552" s="62"/>
    </row>
    <row r="553" spans="2:6">
      <c r="B553" s="62"/>
      <c r="C553" s="62"/>
      <c r="D553" s="62"/>
      <c r="E553" s="62"/>
      <c r="F553" s="62"/>
    </row>
    <row r="554" spans="2:6">
      <c r="B554" s="62"/>
      <c r="C554" s="62"/>
      <c r="D554" s="62"/>
      <c r="E554" s="62"/>
      <c r="F554" s="62"/>
    </row>
    <row r="555" spans="2:6">
      <c r="B555" s="62"/>
      <c r="C555" s="62"/>
      <c r="D555" s="62"/>
      <c r="E555" s="62"/>
      <c r="F555" s="62"/>
    </row>
    <row r="556" spans="2:6">
      <c r="B556" s="62"/>
      <c r="C556" s="62"/>
      <c r="D556" s="62"/>
      <c r="E556" s="62"/>
      <c r="F556" s="62"/>
    </row>
    <row r="557" spans="2:6">
      <c r="B557" s="62"/>
      <c r="C557" s="62"/>
      <c r="D557" s="62"/>
      <c r="E557" s="62"/>
      <c r="F557" s="62"/>
    </row>
    <row r="558" spans="2:6">
      <c r="B558" s="62"/>
      <c r="C558" s="62"/>
      <c r="D558" s="62"/>
      <c r="E558" s="62"/>
      <c r="F558" s="62"/>
    </row>
    <row r="559" spans="2:6">
      <c r="B559" s="62"/>
      <c r="C559" s="62"/>
      <c r="D559" s="62"/>
      <c r="E559" s="62"/>
      <c r="F559" s="62"/>
    </row>
    <row r="560" spans="2:6">
      <c r="B560" s="62"/>
      <c r="C560" s="62"/>
      <c r="D560" s="62"/>
      <c r="E560" s="62"/>
      <c r="F560" s="62"/>
    </row>
    <row r="561" spans="2:6">
      <c r="B561" s="62"/>
      <c r="C561" s="62"/>
      <c r="D561" s="62"/>
      <c r="E561" s="62"/>
      <c r="F561" s="62"/>
    </row>
    <row r="562" spans="2:6">
      <c r="B562" s="62"/>
      <c r="C562" s="62"/>
      <c r="D562" s="62"/>
      <c r="E562" s="62"/>
      <c r="F562" s="62"/>
    </row>
    <row r="563" spans="2:6">
      <c r="B563" s="62"/>
      <c r="C563" s="62"/>
      <c r="D563" s="62"/>
      <c r="E563" s="62"/>
      <c r="F563" s="62"/>
    </row>
    <row r="564" spans="2:6">
      <c r="B564" s="62"/>
      <c r="C564" s="62"/>
      <c r="D564" s="62"/>
      <c r="E564" s="62"/>
      <c r="F564" s="62"/>
    </row>
    <row r="565" spans="2:6">
      <c r="B565" s="62"/>
      <c r="C565" s="62"/>
      <c r="D565" s="62"/>
      <c r="E565" s="62"/>
      <c r="F565" s="62"/>
    </row>
    <row r="566" spans="2:6">
      <c r="B566" s="62"/>
      <c r="C566" s="62"/>
      <c r="D566" s="62"/>
      <c r="E566" s="62"/>
      <c r="F566" s="62"/>
    </row>
    <row r="567" spans="2:6">
      <c r="B567" s="62"/>
      <c r="C567" s="62"/>
      <c r="D567" s="62"/>
      <c r="E567" s="62"/>
      <c r="F567" s="62"/>
    </row>
    <row r="568" spans="2:6">
      <c r="B568" s="62"/>
      <c r="C568" s="62"/>
      <c r="D568" s="62"/>
      <c r="E568" s="62"/>
      <c r="F568" s="62"/>
    </row>
    <row r="569" spans="2:6">
      <c r="B569" s="62"/>
      <c r="C569" s="62"/>
      <c r="D569" s="62"/>
      <c r="E569" s="62"/>
      <c r="F569" s="62"/>
    </row>
    <row r="570" spans="2:6">
      <c r="B570" s="62"/>
      <c r="C570" s="62"/>
      <c r="D570" s="62"/>
      <c r="E570" s="62"/>
      <c r="F570" s="62"/>
    </row>
    <row r="571" spans="2:6">
      <c r="B571" s="62"/>
      <c r="C571" s="62"/>
      <c r="D571" s="62"/>
      <c r="E571" s="62"/>
      <c r="F571" s="62"/>
    </row>
    <row r="572" spans="2:6">
      <c r="B572" s="62"/>
      <c r="C572" s="62"/>
      <c r="D572" s="62"/>
      <c r="E572" s="62"/>
      <c r="F572" s="62"/>
    </row>
    <row r="573" spans="2:6">
      <c r="B573" s="62"/>
      <c r="C573" s="62"/>
      <c r="D573" s="62"/>
      <c r="E573" s="62"/>
      <c r="F573" s="62"/>
    </row>
    <row r="574" spans="2:6">
      <c r="B574" s="62"/>
      <c r="C574" s="62"/>
      <c r="D574" s="62"/>
      <c r="E574" s="62"/>
      <c r="F574" s="62"/>
    </row>
    <row r="575" spans="2:6">
      <c r="B575" s="62"/>
      <c r="C575" s="62"/>
      <c r="D575" s="62"/>
      <c r="E575" s="62"/>
      <c r="F575" s="62"/>
    </row>
    <row r="576" spans="2:6">
      <c r="B576" s="62"/>
      <c r="C576" s="62"/>
      <c r="D576" s="62"/>
      <c r="E576" s="62"/>
      <c r="F576" s="62"/>
    </row>
    <row r="577" spans="2:6">
      <c r="B577" s="62"/>
      <c r="C577" s="62"/>
      <c r="D577" s="62"/>
      <c r="E577" s="62"/>
      <c r="F577" s="62"/>
    </row>
    <row r="584" spans="2:6" ht="24.75" customHeight="1"/>
    <row r="585" spans="2:6" ht="23.25" customHeight="1"/>
    <row r="586" spans="2:6" ht="22.5" customHeight="1"/>
    <row r="587" spans="2:6" ht="22.5" customHeight="1"/>
    <row r="623" ht="21.75" customHeight="1"/>
    <row r="649" spans="2:2">
      <c r="B649" s="62"/>
    </row>
    <row r="650" spans="2:2">
      <c r="B650" s="62"/>
    </row>
    <row r="651" spans="2:2" ht="11.25" customHeight="1">
      <c r="B651" s="62"/>
    </row>
    <row r="652" spans="2:2" ht="11.25" customHeight="1">
      <c r="B652" s="62"/>
    </row>
    <row r="653" spans="2:2" ht="11.25" customHeight="1">
      <c r="B653" s="62"/>
    </row>
    <row r="654" spans="2:2" ht="12" customHeight="1">
      <c r="B654" s="62"/>
    </row>
    <row r="655" spans="2:2">
      <c r="B655" s="62"/>
    </row>
    <row r="656" spans="2:2">
      <c r="B656" s="62"/>
    </row>
    <row r="657" spans="2:2">
      <c r="B657" s="62"/>
    </row>
    <row r="658" spans="2:2">
      <c r="B658" s="62"/>
    </row>
    <row r="659" spans="2:2">
      <c r="B659" s="62"/>
    </row>
    <row r="660" spans="2:2">
      <c r="B660" s="62"/>
    </row>
    <row r="661" spans="2:2">
      <c r="B661" s="62"/>
    </row>
    <row r="662" spans="2:2">
      <c r="B662" s="62"/>
    </row>
    <row r="663" spans="2:2">
      <c r="B663" s="62"/>
    </row>
    <row r="664" spans="2:2">
      <c r="B664" s="62"/>
    </row>
    <row r="665" spans="2:2">
      <c r="B665" s="62"/>
    </row>
    <row r="666" spans="2:2">
      <c r="B666" s="62"/>
    </row>
    <row r="667" spans="2:2">
      <c r="B667" s="62"/>
    </row>
    <row r="668" spans="2:2">
      <c r="B668" s="62"/>
    </row>
    <row r="669" spans="2:2">
      <c r="B669" s="62"/>
    </row>
    <row r="670" spans="2:2">
      <c r="B670" s="62"/>
    </row>
    <row r="671" spans="2:2">
      <c r="B671" s="62"/>
    </row>
    <row r="672" spans="2:2">
      <c r="B672" s="62"/>
    </row>
    <row r="673" spans="2:2">
      <c r="B673" s="62"/>
    </row>
    <row r="674" spans="2:2">
      <c r="B674" s="62"/>
    </row>
  </sheetData>
  <sheetProtection selectLockedCells="1" selectUnlockedCells="1"/>
  <mergeCells count="111">
    <mergeCell ref="A92:D92"/>
    <mergeCell ref="A93:D93"/>
    <mergeCell ref="A94:D94"/>
    <mergeCell ref="A97:I97"/>
    <mergeCell ref="A86:D86"/>
    <mergeCell ref="A90:J90"/>
    <mergeCell ref="A91:D91"/>
    <mergeCell ref="A81:D81"/>
    <mergeCell ref="A85:D85"/>
    <mergeCell ref="A88:D88"/>
    <mergeCell ref="A89:D89"/>
    <mergeCell ref="A83:I83"/>
    <mergeCell ref="A75:D75"/>
    <mergeCell ref="A77:D77"/>
    <mergeCell ref="A78:D78"/>
    <mergeCell ref="A82:D82"/>
    <mergeCell ref="A76:D76"/>
    <mergeCell ref="A79:D79"/>
    <mergeCell ref="A80:D80"/>
    <mergeCell ref="A51:D51"/>
    <mergeCell ref="A48:D48"/>
    <mergeCell ref="A49:D49"/>
    <mergeCell ref="A50:D50"/>
    <mergeCell ref="A54:I54"/>
    <mergeCell ref="A56:D56"/>
    <mergeCell ref="A53:D53"/>
    <mergeCell ref="A52:D52"/>
    <mergeCell ref="A71:D71"/>
    <mergeCell ref="A57:D57"/>
    <mergeCell ref="A60:D60"/>
    <mergeCell ref="A62:D62"/>
    <mergeCell ref="A59:D59"/>
    <mergeCell ref="A64:D64"/>
    <mergeCell ref="A68:D68"/>
    <mergeCell ref="A65:I65"/>
    <mergeCell ref="A69:I69"/>
    <mergeCell ref="D1:J2"/>
    <mergeCell ref="B3:H3"/>
    <mergeCell ref="I3:J3"/>
    <mergeCell ref="B4:H4"/>
    <mergeCell ref="I4:J4"/>
    <mergeCell ref="A5:J5"/>
    <mergeCell ref="A1:C2"/>
    <mergeCell ref="A8:D8"/>
    <mergeCell ref="A28:D28"/>
    <mergeCell ref="A27:D27"/>
    <mergeCell ref="F7:J7"/>
    <mergeCell ref="A10:J10"/>
    <mergeCell ref="A9:D9"/>
    <mergeCell ref="A13:D13"/>
    <mergeCell ref="A15:D15"/>
    <mergeCell ref="A25:I25"/>
    <mergeCell ref="A6:J6"/>
    <mergeCell ref="A7:D7"/>
    <mergeCell ref="A24:D24"/>
    <mergeCell ref="A23:D23"/>
    <mergeCell ref="A18:J18"/>
    <mergeCell ref="A11:D11"/>
    <mergeCell ref="A12:D12"/>
    <mergeCell ref="A16:D16"/>
    <mergeCell ref="A17:I17"/>
    <mergeCell ref="A14:D14"/>
    <mergeCell ref="A41:D41"/>
    <mergeCell ref="A42:D42"/>
    <mergeCell ref="A46:I46"/>
    <mergeCell ref="A35:D35"/>
    <mergeCell ref="A38:D38"/>
    <mergeCell ref="A43:D43"/>
    <mergeCell ref="A44:D44"/>
    <mergeCell ref="A45:D45"/>
    <mergeCell ref="A29:D29"/>
    <mergeCell ref="A30:D30"/>
    <mergeCell ref="A33:I33"/>
    <mergeCell ref="A32:D32"/>
    <mergeCell ref="A40:D40"/>
    <mergeCell ref="A31:D31"/>
    <mergeCell ref="A39:D39"/>
    <mergeCell ref="A36:D36"/>
    <mergeCell ref="A37:D37"/>
    <mergeCell ref="A20:D20"/>
    <mergeCell ref="A19:D19"/>
    <mergeCell ref="A21:I21"/>
    <mergeCell ref="L60:O60"/>
    <mergeCell ref="A61:D61"/>
    <mergeCell ref="L61:O61"/>
    <mergeCell ref="A63:D63"/>
    <mergeCell ref="L63:O63"/>
    <mergeCell ref="L64:O64"/>
    <mergeCell ref="A67:D67"/>
    <mergeCell ref="A72:D72"/>
    <mergeCell ref="A73:I73"/>
    <mergeCell ref="A120:D120"/>
    <mergeCell ref="A112:D112"/>
    <mergeCell ref="A113:D113"/>
    <mergeCell ref="A114:I114"/>
    <mergeCell ref="A116:D116"/>
    <mergeCell ref="A117:D117"/>
    <mergeCell ref="A119:D119"/>
    <mergeCell ref="A96:D96"/>
    <mergeCell ref="A95:D95"/>
    <mergeCell ref="A107:D107"/>
    <mergeCell ref="A108:I108"/>
    <mergeCell ref="A110:D110"/>
    <mergeCell ref="A111:D111"/>
    <mergeCell ref="A104:D104"/>
    <mergeCell ref="A105:D105"/>
    <mergeCell ref="A106:D106"/>
    <mergeCell ref="A100:D100"/>
    <mergeCell ref="A99:D99"/>
    <mergeCell ref="A101:D101"/>
    <mergeCell ref="A102:I102"/>
  </mergeCells>
  <phoneticPr fontId="13" type="noConversion"/>
  <pageMargins left="0.51181102362204722" right="0.51181102362204722" top="0.78740157480314965" bottom="0.78740157480314965" header="0.51181102362204722" footer="0.51181102362204722"/>
  <pageSetup paperSize="9" scale="74" firstPageNumber="0" orientation="portrait" verticalDpi="599" r:id="rId1"/>
  <headerFooter alignWithMargins="0"/>
  <rowBreaks count="4" manualBreakCount="4">
    <brk id="66" max="9" man="1"/>
    <brk id="121" max="9" man="1"/>
    <brk id="132" max="9" man="1"/>
    <brk id="170" max="9" man="1"/>
  </rowBreaks>
  <drawing r:id="rId2"/>
</worksheet>
</file>

<file path=xl/worksheets/sheet6.xml><?xml version="1.0" encoding="utf-8"?>
<worksheet xmlns="http://schemas.openxmlformats.org/spreadsheetml/2006/main" xmlns:r="http://schemas.openxmlformats.org/officeDocument/2006/relationships">
  <dimension ref="B1:H45"/>
  <sheetViews>
    <sheetView workbookViewId="0">
      <selection sqref="A1:C2"/>
    </sheetView>
  </sheetViews>
  <sheetFormatPr defaultRowHeight="12.75"/>
  <cols>
    <col min="1" max="1" width="5.7109375" customWidth="1"/>
    <col min="3" max="3" width="30.7109375" customWidth="1"/>
    <col min="4" max="4" width="25.7109375" customWidth="1"/>
    <col min="5" max="5" width="13.5703125" bestFit="1" customWidth="1"/>
    <col min="257" max="257" width="5.7109375" customWidth="1"/>
    <col min="259" max="259" width="30.7109375" customWidth="1"/>
    <col min="260" max="260" width="25.7109375" customWidth="1"/>
    <col min="261" max="261" width="13.5703125" bestFit="1" customWidth="1"/>
    <col min="513" max="513" width="5.7109375" customWidth="1"/>
    <col min="515" max="515" width="30.7109375" customWidth="1"/>
    <col min="516" max="516" width="25.7109375" customWidth="1"/>
    <col min="517" max="517" width="13.5703125" bestFit="1" customWidth="1"/>
    <col min="769" max="769" width="5.7109375" customWidth="1"/>
    <col min="771" max="771" width="30.7109375" customWidth="1"/>
    <col min="772" max="772" width="25.7109375" customWidth="1"/>
    <col min="773" max="773" width="13.5703125" bestFit="1" customWidth="1"/>
    <col min="1025" max="1025" width="5.7109375" customWidth="1"/>
    <col min="1027" max="1027" width="30.7109375" customWidth="1"/>
    <col min="1028" max="1028" width="25.7109375" customWidth="1"/>
    <col min="1029" max="1029" width="13.5703125" bestFit="1" customWidth="1"/>
    <col min="1281" max="1281" width="5.7109375" customWidth="1"/>
    <col min="1283" max="1283" width="30.7109375" customWidth="1"/>
    <col min="1284" max="1284" width="25.7109375" customWidth="1"/>
    <col min="1285" max="1285" width="13.5703125" bestFit="1" customWidth="1"/>
    <col min="1537" max="1537" width="5.7109375" customWidth="1"/>
    <col min="1539" max="1539" width="30.7109375" customWidth="1"/>
    <col min="1540" max="1540" width="25.7109375" customWidth="1"/>
    <col min="1541" max="1541" width="13.5703125" bestFit="1" customWidth="1"/>
    <col min="1793" max="1793" width="5.7109375" customWidth="1"/>
    <col min="1795" max="1795" width="30.7109375" customWidth="1"/>
    <col min="1796" max="1796" width="25.7109375" customWidth="1"/>
    <col min="1797" max="1797" width="13.5703125" bestFit="1" customWidth="1"/>
    <col min="2049" max="2049" width="5.7109375" customWidth="1"/>
    <col min="2051" max="2051" width="30.7109375" customWidth="1"/>
    <col min="2052" max="2052" width="25.7109375" customWidth="1"/>
    <col min="2053" max="2053" width="13.5703125" bestFit="1" customWidth="1"/>
    <col min="2305" max="2305" width="5.7109375" customWidth="1"/>
    <col min="2307" max="2307" width="30.7109375" customWidth="1"/>
    <col min="2308" max="2308" width="25.7109375" customWidth="1"/>
    <col min="2309" max="2309" width="13.5703125" bestFit="1" customWidth="1"/>
    <col min="2561" max="2561" width="5.7109375" customWidth="1"/>
    <col min="2563" max="2563" width="30.7109375" customWidth="1"/>
    <col min="2564" max="2564" width="25.7109375" customWidth="1"/>
    <col min="2565" max="2565" width="13.5703125" bestFit="1" customWidth="1"/>
    <col min="2817" max="2817" width="5.7109375" customWidth="1"/>
    <col min="2819" max="2819" width="30.7109375" customWidth="1"/>
    <col min="2820" max="2820" width="25.7109375" customWidth="1"/>
    <col min="2821" max="2821" width="13.5703125" bestFit="1" customWidth="1"/>
    <col min="3073" max="3073" width="5.7109375" customWidth="1"/>
    <col min="3075" max="3075" width="30.7109375" customWidth="1"/>
    <col min="3076" max="3076" width="25.7109375" customWidth="1"/>
    <col min="3077" max="3077" width="13.5703125" bestFit="1" customWidth="1"/>
    <col min="3329" max="3329" width="5.7109375" customWidth="1"/>
    <col min="3331" max="3331" width="30.7109375" customWidth="1"/>
    <col min="3332" max="3332" width="25.7109375" customWidth="1"/>
    <col min="3333" max="3333" width="13.5703125" bestFit="1" customWidth="1"/>
    <col min="3585" max="3585" width="5.7109375" customWidth="1"/>
    <col min="3587" max="3587" width="30.7109375" customWidth="1"/>
    <col min="3588" max="3588" width="25.7109375" customWidth="1"/>
    <col min="3589" max="3589" width="13.5703125" bestFit="1" customWidth="1"/>
    <col min="3841" max="3841" width="5.7109375" customWidth="1"/>
    <col min="3843" max="3843" width="30.7109375" customWidth="1"/>
    <col min="3844" max="3844" width="25.7109375" customWidth="1"/>
    <col min="3845" max="3845" width="13.5703125" bestFit="1" customWidth="1"/>
    <col min="4097" max="4097" width="5.7109375" customWidth="1"/>
    <col min="4099" max="4099" width="30.7109375" customWidth="1"/>
    <col min="4100" max="4100" width="25.7109375" customWidth="1"/>
    <col min="4101" max="4101" width="13.5703125" bestFit="1" customWidth="1"/>
    <col min="4353" max="4353" width="5.7109375" customWidth="1"/>
    <col min="4355" max="4355" width="30.7109375" customWidth="1"/>
    <col min="4356" max="4356" width="25.7109375" customWidth="1"/>
    <col min="4357" max="4357" width="13.5703125" bestFit="1" customWidth="1"/>
    <col min="4609" max="4609" width="5.7109375" customWidth="1"/>
    <col min="4611" max="4611" width="30.7109375" customWidth="1"/>
    <col min="4612" max="4612" width="25.7109375" customWidth="1"/>
    <col min="4613" max="4613" width="13.5703125" bestFit="1" customWidth="1"/>
    <col min="4865" max="4865" width="5.7109375" customWidth="1"/>
    <col min="4867" max="4867" width="30.7109375" customWidth="1"/>
    <col min="4868" max="4868" width="25.7109375" customWidth="1"/>
    <col min="4869" max="4869" width="13.5703125" bestFit="1" customWidth="1"/>
    <col min="5121" max="5121" width="5.7109375" customWidth="1"/>
    <col min="5123" max="5123" width="30.7109375" customWidth="1"/>
    <col min="5124" max="5124" width="25.7109375" customWidth="1"/>
    <col min="5125" max="5125" width="13.5703125" bestFit="1" customWidth="1"/>
    <col min="5377" max="5377" width="5.7109375" customWidth="1"/>
    <col min="5379" max="5379" width="30.7109375" customWidth="1"/>
    <col min="5380" max="5380" width="25.7109375" customWidth="1"/>
    <col min="5381" max="5381" width="13.5703125" bestFit="1" customWidth="1"/>
    <col min="5633" max="5633" width="5.7109375" customWidth="1"/>
    <col min="5635" max="5635" width="30.7109375" customWidth="1"/>
    <col min="5636" max="5636" width="25.7109375" customWidth="1"/>
    <col min="5637" max="5637" width="13.5703125" bestFit="1" customWidth="1"/>
    <col min="5889" max="5889" width="5.7109375" customWidth="1"/>
    <col min="5891" max="5891" width="30.7109375" customWidth="1"/>
    <col min="5892" max="5892" width="25.7109375" customWidth="1"/>
    <col min="5893" max="5893" width="13.5703125" bestFit="1" customWidth="1"/>
    <col min="6145" max="6145" width="5.7109375" customWidth="1"/>
    <col min="6147" max="6147" width="30.7109375" customWidth="1"/>
    <col min="6148" max="6148" width="25.7109375" customWidth="1"/>
    <col min="6149" max="6149" width="13.5703125" bestFit="1" customWidth="1"/>
    <col min="6401" max="6401" width="5.7109375" customWidth="1"/>
    <col min="6403" max="6403" width="30.7109375" customWidth="1"/>
    <col min="6404" max="6404" width="25.7109375" customWidth="1"/>
    <col min="6405" max="6405" width="13.5703125" bestFit="1" customWidth="1"/>
    <col min="6657" max="6657" width="5.7109375" customWidth="1"/>
    <col min="6659" max="6659" width="30.7109375" customWidth="1"/>
    <col min="6660" max="6660" width="25.7109375" customWidth="1"/>
    <col min="6661" max="6661" width="13.5703125" bestFit="1" customWidth="1"/>
    <col min="6913" max="6913" width="5.7109375" customWidth="1"/>
    <col min="6915" max="6915" width="30.7109375" customWidth="1"/>
    <col min="6916" max="6916" width="25.7109375" customWidth="1"/>
    <col min="6917" max="6917" width="13.5703125" bestFit="1" customWidth="1"/>
    <col min="7169" max="7169" width="5.7109375" customWidth="1"/>
    <col min="7171" max="7171" width="30.7109375" customWidth="1"/>
    <col min="7172" max="7172" width="25.7109375" customWidth="1"/>
    <col min="7173" max="7173" width="13.5703125" bestFit="1" customWidth="1"/>
    <col min="7425" max="7425" width="5.7109375" customWidth="1"/>
    <col min="7427" max="7427" width="30.7109375" customWidth="1"/>
    <col min="7428" max="7428" width="25.7109375" customWidth="1"/>
    <col min="7429" max="7429" width="13.5703125" bestFit="1" customWidth="1"/>
    <col min="7681" max="7681" width="5.7109375" customWidth="1"/>
    <col min="7683" max="7683" width="30.7109375" customWidth="1"/>
    <col min="7684" max="7684" width="25.7109375" customWidth="1"/>
    <col min="7685" max="7685" width="13.5703125" bestFit="1" customWidth="1"/>
    <col min="7937" max="7937" width="5.7109375" customWidth="1"/>
    <col min="7939" max="7939" width="30.7109375" customWidth="1"/>
    <col min="7940" max="7940" width="25.7109375" customWidth="1"/>
    <col min="7941" max="7941" width="13.5703125" bestFit="1" customWidth="1"/>
    <col min="8193" max="8193" width="5.7109375" customWidth="1"/>
    <col min="8195" max="8195" width="30.7109375" customWidth="1"/>
    <col min="8196" max="8196" width="25.7109375" customWidth="1"/>
    <col min="8197" max="8197" width="13.5703125" bestFit="1" customWidth="1"/>
    <col min="8449" max="8449" width="5.7109375" customWidth="1"/>
    <col min="8451" max="8451" width="30.7109375" customWidth="1"/>
    <col min="8452" max="8452" width="25.7109375" customWidth="1"/>
    <col min="8453" max="8453" width="13.5703125" bestFit="1" customWidth="1"/>
    <col min="8705" max="8705" width="5.7109375" customWidth="1"/>
    <col min="8707" max="8707" width="30.7109375" customWidth="1"/>
    <col min="8708" max="8708" width="25.7109375" customWidth="1"/>
    <col min="8709" max="8709" width="13.5703125" bestFit="1" customWidth="1"/>
    <col min="8961" max="8961" width="5.7109375" customWidth="1"/>
    <col min="8963" max="8963" width="30.7109375" customWidth="1"/>
    <col min="8964" max="8964" width="25.7109375" customWidth="1"/>
    <col min="8965" max="8965" width="13.5703125" bestFit="1" customWidth="1"/>
    <col min="9217" max="9217" width="5.7109375" customWidth="1"/>
    <col min="9219" max="9219" width="30.7109375" customWidth="1"/>
    <col min="9220" max="9220" width="25.7109375" customWidth="1"/>
    <col min="9221" max="9221" width="13.5703125" bestFit="1" customWidth="1"/>
    <col min="9473" max="9473" width="5.7109375" customWidth="1"/>
    <col min="9475" max="9475" width="30.7109375" customWidth="1"/>
    <col min="9476" max="9476" width="25.7109375" customWidth="1"/>
    <col min="9477" max="9477" width="13.5703125" bestFit="1" customWidth="1"/>
    <col min="9729" max="9729" width="5.7109375" customWidth="1"/>
    <col min="9731" max="9731" width="30.7109375" customWidth="1"/>
    <col min="9732" max="9732" width="25.7109375" customWidth="1"/>
    <col min="9733" max="9733" width="13.5703125" bestFit="1" customWidth="1"/>
    <col min="9985" max="9985" width="5.7109375" customWidth="1"/>
    <col min="9987" max="9987" width="30.7109375" customWidth="1"/>
    <col min="9988" max="9988" width="25.7109375" customWidth="1"/>
    <col min="9989" max="9989" width="13.5703125" bestFit="1" customWidth="1"/>
    <col min="10241" max="10241" width="5.7109375" customWidth="1"/>
    <col min="10243" max="10243" width="30.7109375" customWidth="1"/>
    <col min="10244" max="10244" width="25.7109375" customWidth="1"/>
    <col min="10245" max="10245" width="13.5703125" bestFit="1" customWidth="1"/>
    <col min="10497" max="10497" width="5.7109375" customWidth="1"/>
    <col min="10499" max="10499" width="30.7109375" customWidth="1"/>
    <col min="10500" max="10500" width="25.7109375" customWidth="1"/>
    <col min="10501" max="10501" width="13.5703125" bestFit="1" customWidth="1"/>
    <col min="10753" max="10753" width="5.7109375" customWidth="1"/>
    <col min="10755" max="10755" width="30.7109375" customWidth="1"/>
    <col min="10756" max="10756" width="25.7109375" customWidth="1"/>
    <col min="10757" max="10757" width="13.5703125" bestFit="1" customWidth="1"/>
    <col min="11009" max="11009" width="5.7109375" customWidth="1"/>
    <col min="11011" max="11011" width="30.7109375" customWidth="1"/>
    <col min="11012" max="11012" width="25.7109375" customWidth="1"/>
    <col min="11013" max="11013" width="13.5703125" bestFit="1" customWidth="1"/>
    <col min="11265" max="11265" width="5.7109375" customWidth="1"/>
    <col min="11267" max="11267" width="30.7109375" customWidth="1"/>
    <col min="11268" max="11268" width="25.7109375" customWidth="1"/>
    <col min="11269" max="11269" width="13.5703125" bestFit="1" customWidth="1"/>
    <col min="11521" max="11521" width="5.7109375" customWidth="1"/>
    <col min="11523" max="11523" width="30.7109375" customWidth="1"/>
    <col min="11524" max="11524" width="25.7109375" customWidth="1"/>
    <col min="11525" max="11525" width="13.5703125" bestFit="1" customWidth="1"/>
    <col min="11777" max="11777" width="5.7109375" customWidth="1"/>
    <col min="11779" max="11779" width="30.7109375" customWidth="1"/>
    <col min="11780" max="11780" width="25.7109375" customWidth="1"/>
    <col min="11781" max="11781" width="13.5703125" bestFit="1" customWidth="1"/>
    <col min="12033" max="12033" width="5.7109375" customWidth="1"/>
    <col min="12035" max="12035" width="30.7109375" customWidth="1"/>
    <col min="12036" max="12036" width="25.7109375" customWidth="1"/>
    <col min="12037" max="12037" width="13.5703125" bestFit="1" customWidth="1"/>
    <col min="12289" max="12289" width="5.7109375" customWidth="1"/>
    <col min="12291" max="12291" width="30.7109375" customWidth="1"/>
    <col min="12292" max="12292" width="25.7109375" customWidth="1"/>
    <col min="12293" max="12293" width="13.5703125" bestFit="1" customWidth="1"/>
    <col min="12545" max="12545" width="5.7109375" customWidth="1"/>
    <col min="12547" max="12547" width="30.7109375" customWidth="1"/>
    <col min="12548" max="12548" width="25.7109375" customWidth="1"/>
    <col min="12549" max="12549" width="13.5703125" bestFit="1" customWidth="1"/>
    <col min="12801" max="12801" width="5.7109375" customWidth="1"/>
    <col min="12803" max="12803" width="30.7109375" customWidth="1"/>
    <col min="12804" max="12804" width="25.7109375" customWidth="1"/>
    <col min="12805" max="12805" width="13.5703125" bestFit="1" customWidth="1"/>
    <col min="13057" max="13057" width="5.7109375" customWidth="1"/>
    <col min="13059" max="13059" width="30.7109375" customWidth="1"/>
    <col min="13060" max="13060" width="25.7109375" customWidth="1"/>
    <col min="13061" max="13061" width="13.5703125" bestFit="1" customWidth="1"/>
    <col min="13313" max="13313" width="5.7109375" customWidth="1"/>
    <col min="13315" max="13315" width="30.7109375" customWidth="1"/>
    <col min="13316" max="13316" width="25.7109375" customWidth="1"/>
    <col min="13317" max="13317" width="13.5703125" bestFit="1" customWidth="1"/>
    <col min="13569" max="13569" width="5.7109375" customWidth="1"/>
    <col min="13571" max="13571" width="30.7109375" customWidth="1"/>
    <col min="13572" max="13572" width="25.7109375" customWidth="1"/>
    <col min="13573" max="13573" width="13.5703125" bestFit="1" customWidth="1"/>
    <col min="13825" max="13825" width="5.7109375" customWidth="1"/>
    <col min="13827" max="13827" width="30.7109375" customWidth="1"/>
    <col min="13828" max="13828" width="25.7109375" customWidth="1"/>
    <col min="13829" max="13829" width="13.5703125" bestFit="1" customWidth="1"/>
    <col min="14081" max="14081" width="5.7109375" customWidth="1"/>
    <col min="14083" max="14083" width="30.7109375" customWidth="1"/>
    <col min="14084" max="14084" width="25.7109375" customWidth="1"/>
    <col min="14085" max="14085" width="13.5703125" bestFit="1" customWidth="1"/>
    <col min="14337" max="14337" width="5.7109375" customWidth="1"/>
    <col min="14339" max="14339" width="30.7109375" customWidth="1"/>
    <col min="14340" max="14340" width="25.7109375" customWidth="1"/>
    <col min="14341" max="14341" width="13.5703125" bestFit="1" customWidth="1"/>
    <col min="14593" max="14593" width="5.7109375" customWidth="1"/>
    <col min="14595" max="14595" width="30.7109375" customWidth="1"/>
    <col min="14596" max="14596" width="25.7109375" customWidth="1"/>
    <col min="14597" max="14597" width="13.5703125" bestFit="1" customWidth="1"/>
    <col min="14849" max="14849" width="5.7109375" customWidth="1"/>
    <col min="14851" max="14851" width="30.7109375" customWidth="1"/>
    <col min="14852" max="14852" width="25.7109375" customWidth="1"/>
    <col min="14853" max="14853" width="13.5703125" bestFit="1" customWidth="1"/>
    <col min="15105" max="15105" width="5.7109375" customWidth="1"/>
    <col min="15107" max="15107" width="30.7109375" customWidth="1"/>
    <col min="15108" max="15108" width="25.7109375" customWidth="1"/>
    <col min="15109" max="15109" width="13.5703125" bestFit="1" customWidth="1"/>
    <col min="15361" max="15361" width="5.7109375" customWidth="1"/>
    <col min="15363" max="15363" width="30.7109375" customWidth="1"/>
    <col min="15364" max="15364" width="25.7109375" customWidth="1"/>
    <col min="15365" max="15365" width="13.5703125" bestFit="1" customWidth="1"/>
    <col min="15617" max="15617" width="5.7109375" customWidth="1"/>
    <col min="15619" max="15619" width="30.7109375" customWidth="1"/>
    <col min="15620" max="15620" width="25.7109375" customWidth="1"/>
    <col min="15621" max="15621" width="13.5703125" bestFit="1" customWidth="1"/>
    <col min="15873" max="15873" width="5.7109375" customWidth="1"/>
    <col min="15875" max="15875" width="30.7109375" customWidth="1"/>
    <col min="15876" max="15876" width="25.7109375" customWidth="1"/>
    <col min="15877" max="15877" width="13.5703125" bestFit="1" customWidth="1"/>
    <col min="16129" max="16129" width="5.7109375" customWidth="1"/>
    <col min="16131" max="16131" width="30.7109375" customWidth="1"/>
    <col min="16132" max="16132" width="25.7109375" customWidth="1"/>
    <col min="16133" max="16133" width="13.5703125" bestFit="1" customWidth="1"/>
  </cols>
  <sheetData>
    <row r="1" spans="2:8" ht="13.5" thickBot="1"/>
    <row r="2" spans="2:8">
      <c r="B2" s="67"/>
      <c r="C2" s="68"/>
      <c r="D2" s="68"/>
      <c r="E2" s="68"/>
      <c r="F2" s="69"/>
    </row>
    <row r="3" spans="2:8">
      <c r="B3" s="70"/>
      <c r="C3" s="956" t="s">
        <v>189</v>
      </c>
      <c r="D3" s="956"/>
      <c r="E3" s="956"/>
      <c r="F3" s="71"/>
      <c r="H3" s="72" t="s">
        <v>1</v>
      </c>
    </row>
    <row r="4" spans="2:8">
      <c r="B4" s="70"/>
      <c r="C4" s="956" t="s">
        <v>190</v>
      </c>
      <c r="D4" s="956"/>
      <c r="E4" s="956"/>
      <c r="F4" s="73"/>
    </row>
    <row r="5" spans="2:8" ht="13.5" thickBot="1">
      <c r="B5" s="74"/>
      <c r="C5" s="957" t="s">
        <v>1</v>
      </c>
      <c r="D5" s="958"/>
      <c r="E5" s="958"/>
      <c r="F5" s="75"/>
      <c r="G5" s="564"/>
    </row>
    <row r="6" spans="2:8">
      <c r="B6" s="67"/>
      <c r="C6" s="68"/>
      <c r="D6" s="68"/>
      <c r="E6" s="68"/>
      <c r="F6" s="69"/>
    </row>
    <row r="7" spans="2:8">
      <c r="B7" s="76" t="s">
        <v>191</v>
      </c>
      <c r="C7" s="77" t="s">
        <v>192</v>
      </c>
      <c r="D7" s="562"/>
      <c r="E7" s="562"/>
      <c r="F7" s="71"/>
    </row>
    <row r="8" spans="2:8">
      <c r="B8" s="70" t="s">
        <v>222</v>
      </c>
      <c r="C8" s="562" t="s">
        <v>193</v>
      </c>
      <c r="D8" s="562"/>
      <c r="E8" s="78">
        <v>0</v>
      </c>
      <c r="F8" s="71"/>
    </row>
    <row r="9" spans="2:8">
      <c r="B9" s="70" t="s">
        <v>224</v>
      </c>
      <c r="C9" s="562" t="s">
        <v>194</v>
      </c>
      <c r="D9" s="562"/>
      <c r="E9" s="566">
        <v>0</v>
      </c>
      <c r="F9" s="71"/>
    </row>
    <row r="10" spans="2:8">
      <c r="B10" s="70" t="s">
        <v>226</v>
      </c>
      <c r="C10" s="562" t="s">
        <v>195</v>
      </c>
      <c r="D10" s="562"/>
      <c r="E10" s="566">
        <v>0.08</v>
      </c>
      <c r="F10" s="71"/>
    </row>
    <row r="11" spans="2:8">
      <c r="B11" s="70" t="s">
        <v>228</v>
      </c>
      <c r="C11" s="562" t="s">
        <v>196</v>
      </c>
      <c r="D11" s="562"/>
      <c r="E11" s="566">
        <v>2E-3</v>
      </c>
      <c r="F11" s="71"/>
    </row>
    <row r="12" spans="2:8">
      <c r="B12" s="70" t="s">
        <v>669</v>
      </c>
      <c r="C12" s="562" t="s">
        <v>197</v>
      </c>
      <c r="D12" s="562"/>
      <c r="E12" s="566">
        <v>2.5000000000000001E-2</v>
      </c>
      <c r="F12" s="71"/>
    </row>
    <row r="13" spans="2:8">
      <c r="B13" s="70" t="s">
        <v>670</v>
      </c>
      <c r="C13" s="562" t="s">
        <v>198</v>
      </c>
      <c r="D13" s="562"/>
      <c r="E13" s="566">
        <v>6.0000000000000001E-3</v>
      </c>
      <c r="F13" s="71"/>
    </row>
    <row r="14" spans="2:8">
      <c r="B14" s="70" t="s">
        <v>671</v>
      </c>
      <c r="C14" s="562" t="s">
        <v>199</v>
      </c>
      <c r="D14" s="562"/>
      <c r="E14" s="566">
        <v>0.03</v>
      </c>
      <c r="F14" s="71"/>
    </row>
    <row r="15" spans="2:8">
      <c r="B15" s="70" t="s">
        <v>672</v>
      </c>
      <c r="C15" s="562" t="s">
        <v>200</v>
      </c>
      <c r="D15" s="562"/>
      <c r="E15" s="566">
        <v>0.01</v>
      </c>
      <c r="F15" s="71"/>
    </row>
    <row r="16" spans="2:8">
      <c r="B16" s="70" t="s">
        <v>673</v>
      </c>
      <c r="C16" s="562" t="s">
        <v>201</v>
      </c>
      <c r="D16" s="562"/>
      <c r="E16" s="78">
        <v>1.4999999999999999E-2</v>
      </c>
      <c r="F16" s="71"/>
    </row>
    <row r="17" spans="2:8">
      <c r="B17" s="70"/>
      <c r="C17" s="77" t="s">
        <v>119</v>
      </c>
      <c r="D17" s="562"/>
      <c r="E17" s="79">
        <f>ROUND(SUM(E8:E16),4)</f>
        <v>0.16800000000000001</v>
      </c>
      <c r="F17" s="80" t="s">
        <v>202</v>
      </c>
    </row>
    <row r="18" spans="2:8">
      <c r="B18" s="70"/>
      <c r="C18" s="562"/>
      <c r="D18" s="562"/>
      <c r="E18" s="562"/>
      <c r="F18" s="71"/>
    </row>
    <row r="19" spans="2:8">
      <c r="B19" s="76" t="s">
        <v>203</v>
      </c>
      <c r="C19" s="77" t="s">
        <v>204</v>
      </c>
      <c r="D19" s="77"/>
      <c r="E19" s="562"/>
      <c r="F19" s="71"/>
    </row>
    <row r="20" spans="2:8">
      <c r="B20" s="70" t="s">
        <v>231</v>
      </c>
      <c r="C20" s="562" t="s">
        <v>674</v>
      </c>
      <c r="D20" s="81"/>
      <c r="E20" s="566">
        <v>0.18090000000000001</v>
      </c>
      <c r="F20" s="71"/>
    </row>
    <row r="21" spans="2:8">
      <c r="B21" s="70" t="s">
        <v>233</v>
      </c>
      <c r="C21" s="562" t="s">
        <v>675</v>
      </c>
      <c r="D21" s="81"/>
      <c r="E21" s="566">
        <v>4.3400000000000001E-2</v>
      </c>
      <c r="F21" s="71"/>
    </row>
    <row r="22" spans="2:8">
      <c r="B22" s="70" t="s">
        <v>676</v>
      </c>
      <c r="C22" s="562" t="s">
        <v>677</v>
      </c>
      <c r="D22" s="81"/>
      <c r="E22" s="566">
        <v>9.1999999999999998E-3</v>
      </c>
      <c r="F22" s="71"/>
    </row>
    <row r="23" spans="2:8">
      <c r="B23" s="70" t="s">
        <v>678</v>
      </c>
      <c r="C23" s="562" t="s">
        <v>679</v>
      </c>
      <c r="D23" s="81"/>
      <c r="E23" s="566">
        <v>0.1105</v>
      </c>
      <c r="F23" s="71"/>
    </row>
    <row r="24" spans="2:8">
      <c r="B24" s="70" t="s">
        <v>680</v>
      </c>
      <c r="C24" s="562" t="s">
        <v>681</v>
      </c>
      <c r="D24" s="81"/>
      <c r="E24" s="566">
        <v>8.0000000000000004E-4</v>
      </c>
      <c r="F24" s="71"/>
    </row>
    <row r="25" spans="2:8">
      <c r="B25" s="70" t="s">
        <v>682</v>
      </c>
      <c r="C25" s="562" t="s">
        <v>683</v>
      </c>
      <c r="D25" s="81"/>
      <c r="E25" s="566">
        <v>7.4000000000000003E-3</v>
      </c>
      <c r="F25" s="71"/>
    </row>
    <row r="26" spans="2:8">
      <c r="B26" s="70" t="s">
        <v>684</v>
      </c>
      <c r="C26" s="562" t="s">
        <v>685</v>
      </c>
      <c r="D26" s="81"/>
      <c r="E26" s="566">
        <v>2.3099999999999999E-2</v>
      </c>
      <c r="F26" s="71"/>
    </row>
    <row r="27" spans="2:8">
      <c r="B27" s="70" t="s">
        <v>686</v>
      </c>
      <c r="C27" s="562" t="s">
        <v>687</v>
      </c>
      <c r="D27" s="81"/>
      <c r="E27" s="566">
        <v>1.1999999999999999E-3</v>
      </c>
      <c r="F27" s="71"/>
    </row>
    <row r="28" spans="2:8">
      <c r="B28" s="70" t="s">
        <v>688</v>
      </c>
      <c r="C28" s="562" t="s">
        <v>689</v>
      </c>
      <c r="D28" s="81"/>
      <c r="E28" s="566">
        <v>0.1053</v>
      </c>
      <c r="F28" s="71"/>
    </row>
    <row r="29" spans="2:8">
      <c r="B29" s="70" t="s">
        <v>690</v>
      </c>
      <c r="C29" s="562" t="s">
        <v>691</v>
      </c>
      <c r="D29" s="81"/>
      <c r="E29" s="566">
        <v>2.9999999999999997E-4</v>
      </c>
      <c r="F29" s="71"/>
    </row>
    <row r="30" spans="2:8">
      <c r="B30" s="70"/>
      <c r="C30" s="77" t="s">
        <v>119</v>
      </c>
      <c r="D30" s="562"/>
      <c r="E30" s="79">
        <f>SUM(E20:E29)</f>
        <v>0.48209999999999997</v>
      </c>
      <c r="F30" s="80" t="s">
        <v>120</v>
      </c>
    </row>
    <row r="31" spans="2:8">
      <c r="B31" s="70"/>
      <c r="C31" s="562"/>
      <c r="D31" s="562"/>
      <c r="E31" s="562"/>
      <c r="F31" s="71"/>
      <c r="G31" s="955"/>
      <c r="H31" s="955"/>
    </row>
    <row r="32" spans="2:8">
      <c r="B32" s="76" t="s">
        <v>205</v>
      </c>
      <c r="C32" s="77" t="s">
        <v>206</v>
      </c>
      <c r="D32" s="77"/>
      <c r="E32" s="562"/>
      <c r="F32" s="71"/>
      <c r="G32" s="955"/>
      <c r="H32" s="955"/>
    </row>
    <row r="33" spans="2:8">
      <c r="B33" s="70" t="s">
        <v>236</v>
      </c>
      <c r="C33" s="565" t="s">
        <v>692</v>
      </c>
      <c r="D33" s="565"/>
      <c r="E33" s="566">
        <v>7.0300000000000001E-2</v>
      </c>
      <c r="F33" s="71"/>
      <c r="G33" s="565"/>
      <c r="H33" s="565"/>
    </row>
    <row r="34" spans="2:8">
      <c r="B34" s="70" t="s">
        <v>238</v>
      </c>
      <c r="C34" s="565" t="s">
        <v>693</v>
      </c>
      <c r="D34" s="565"/>
      <c r="E34" s="566">
        <v>3.7000000000000002E-3</v>
      </c>
      <c r="F34" s="71"/>
    </row>
    <row r="35" spans="2:8">
      <c r="B35" s="70" t="s">
        <v>694</v>
      </c>
      <c r="C35" s="565" t="s">
        <v>695</v>
      </c>
      <c r="D35" s="565"/>
      <c r="E35" s="566">
        <v>3.9399999999999998E-2</v>
      </c>
      <c r="F35" s="71"/>
    </row>
    <row r="36" spans="2:8">
      <c r="B36" s="70" t="s">
        <v>696</v>
      </c>
      <c r="C36" s="562" t="s">
        <v>697</v>
      </c>
      <c r="D36" s="81" t="s">
        <v>1</v>
      </c>
      <c r="E36" s="566">
        <v>5.3699999999999998E-2</v>
      </c>
      <c r="F36" s="71"/>
    </row>
    <row r="37" spans="2:8">
      <c r="B37" s="70" t="s">
        <v>698</v>
      </c>
      <c r="C37" s="562" t="s">
        <v>699</v>
      </c>
      <c r="D37" s="81" t="s">
        <v>1</v>
      </c>
      <c r="E37" s="566">
        <v>5.8999999999999999E-3</v>
      </c>
      <c r="F37" s="71"/>
    </row>
    <row r="38" spans="2:8">
      <c r="B38" s="70"/>
      <c r="C38" s="77" t="s">
        <v>119</v>
      </c>
      <c r="D38" s="562"/>
      <c r="E38" s="79">
        <f>ROUND(SUM(E33:E37),4)</f>
        <v>0.17299999999999999</v>
      </c>
      <c r="F38" s="80" t="s">
        <v>207</v>
      </c>
    </row>
    <row r="39" spans="2:8">
      <c r="B39" s="70"/>
      <c r="C39" s="562"/>
      <c r="D39" s="562"/>
      <c r="E39" s="562"/>
      <c r="F39" s="71"/>
    </row>
    <row r="40" spans="2:8">
      <c r="B40" s="76" t="s">
        <v>208</v>
      </c>
      <c r="C40" s="77" t="s">
        <v>209</v>
      </c>
      <c r="D40" s="562"/>
      <c r="E40" s="562"/>
      <c r="F40" s="71"/>
    </row>
    <row r="41" spans="2:8">
      <c r="B41" s="70" t="s">
        <v>240</v>
      </c>
      <c r="C41" s="562" t="s">
        <v>700</v>
      </c>
      <c r="D41" s="562"/>
      <c r="E41" s="82">
        <f>E17*E30</f>
        <v>8.1000000000000003E-2</v>
      </c>
      <c r="F41" s="71"/>
    </row>
    <row r="42" spans="2:8" ht="51">
      <c r="B42" s="70" t="s">
        <v>242</v>
      </c>
      <c r="C42" s="563" t="s">
        <v>701</v>
      </c>
      <c r="D42" s="562"/>
      <c r="E42" s="82">
        <f>E17*E34+E10*E33</f>
        <v>6.1999999999999998E-3</v>
      </c>
      <c r="F42" s="71"/>
    </row>
    <row r="43" spans="2:8">
      <c r="B43" s="70"/>
      <c r="C43" s="77" t="s">
        <v>119</v>
      </c>
      <c r="D43" s="562"/>
      <c r="E43" s="79">
        <f>E42+E41</f>
        <v>8.72E-2</v>
      </c>
      <c r="F43" s="80" t="s">
        <v>210</v>
      </c>
    </row>
    <row r="44" spans="2:8">
      <c r="B44" s="70"/>
      <c r="C44" s="562"/>
      <c r="D44" s="562"/>
      <c r="E44" s="562"/>
      <c r="F44" s="71"/>
    </row>
    <row r="45" spans="2:8" ht="13.5" thickBot="1">
      <c r="B45" s="74"/>
      <c r="C45" s="83" t="s">
        <v>211</v>
      </c>
      <c r="D45" s="84"/>
      <c r="E45" s="85">
        <f>ROUND(E17+E30+E38+E43,4)</f>
        <v>0.9103</v>
      </c>
      <c r="F45" s="86"/>
    </row>
  </sheetData>
  <mergeCells count="5">
    <mergeCell ref="G32:H32"/>
    <mergeCell ref="C3:E3"/>
    <mergeCell ref="C4:E4"/>
    <mergeCell ref="C5:E5"/>
    <mergeCell ref="G31:H31"/>
  </mergeCells>
  <phoneticPr fontId="13" type="noConversion"/>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dimension ref="B1:J59"/>
  <sheetViews>
    <sheetView workbookViewId="0">
      <selection sqref="A1:C2"/>
    </sheetView>
  </sheetViews>
  <sheetFormatPr defaultRowHeight="12.75"/>
  <cols>
    <col min="1" max="1" width="5.7109375" customWidth="1"/>
    <col min="3" max="3" width="30.7109375" customWidth="1"/>
    <col min="4" max="4" width="25.7109375" customWidth="1"/>
    <col min="5" max="5" width="13.5703125" bestFit="1" customWidth="1"/>
    <col min="257" max="257" width="5.7109375" customWidth="1"/>
    <col min="259" max="259" width="30.7109375" customWidth="1"/>
    <col min="260" max="260" width="25.7109375" customWidth="1"/>
    <col min="261" max="261" width="13.5703125" bestFit="1" customWidth="1"/>
    <col min="513" max="513" width="5.7109375" customWidth="1"/>
    <col min="515" max="515" width="30.7109375" customWidth="1"/>
    <col min="516" max="516" width="25.7109375" customWidth="1"/>
    <col min="517" max="517" width="13.5703125" bestFit="1" customWidth="1"/>
    <col min="769" max="769" width="5.7109375" customWidth="1"/>
    <col min="771" max="771" width="30.7109375" customWidth="1"/>
    <col min="772" max="772" width="25.7109375" customWidth="1"/>
    <col min="773" max="773" width="13.5703125" bestFit="1" customWidth="1"/>
    <col min="1025" max="1025" width="5.7109375" customWidth="1"/>
    <col min="1027" max="1027" width="30.7109375" customWidth="1"/>
    <col min="1028" max="1028" width="25.7109375" customWidth="1"/>
    <col min="1029" max="1029" width="13.5703125" bestFit="1" customWidth="1"/>
    <col min="1281" max="1281" width="5.7109375" customWidth="1"/>
    <col min="1283" max="1283" width="30.7109375" customWidth="1"/>
    <col min="1284" max="1284" width="25.7109375" customWidth="1"/>
    <col min="1285" max="1285" width="13.5703125" bestFit="1" customWidth="1"/>
    <col min="1537" max="1537" width="5.7109375" customWidth="1"/>
    <col min="1539" max="1539" width="30.7109375" customWidth="1"/>
    <col min="1540" max="1540" width="25.7109375" customWidth="1"/>
    <col min="1541" max="1541" width="13.5703125" bestFit="1" customWidth="1"/>
    <col min="1793" max="1793" width="5.7109375" customWidth="1"/>
    <col min="1795" max="1795" width="30.7109375" customWidth="1"/>
    <col min="1796" max="1796" width="25.7109375" customWidth="1"/>
    <col min="1797" max="1797" width="13.5703125" bestFit="1" customWidth="1"/>
    <col min="2049" max="2049" width="5.7109375" customWidth="1"/>
    <col min="2051" max="2051" width="30.7109375" customWidth="1"/>
    <col min="2052" max="2052" width="25.7109375" customWidth="1"/>
    <col min="2053" max="2053" width="13.5703125" bestFit="1" customWidth="1"/>
    <col min="2305" max="2305" width="5.7109375" customWidth="1"/>
    <col min="2307" max="2307" width="30.7109375" customWidth="1"/>
    <col min="2308" max="2308" width="25.7109375" customWidth="1"/>
    <col min="2309" max="2309" width="13.5703125" bestFit="1" customWidth="1"/>
    <col min="2561" max="2561" width="5.7109375" customWidth="1"/>
    <col min="2563" max="2563" width="30.7109375" customWidth="1"/>
    <col min="2564" max="2564" width="25.7109375" customWidth="1"/>
    <col min="2565" max="2565" width="13.5703125" bestFit="1" customWidth="1"/>
    <col min="2817" max="2817" width="5.7109375" customWidth="1"/>
    <col min="2819" max="2819" width="30.7109375" customWidth="1"/>
    <col min="2820" max="2820" width="25.7109375" customWidth="1"/>
    <col min="2821" max="2821" width="13.5703125" bestFit="1" customWidth="1"/>
    <col min="3073" max="3073" width="5.7109375" customWidth="1"/>
    <col min="3075" max="3075" width="30.7109375" customWidth="1"/>
    <col min="3076" max="3076" width="25.7109375" customWidth="1"/>
    <col min="3077" max="3077" width="13.5703125" bestFit="1" customWidth="1"/>
    <col min="3329" max="3329" width="5.7109375" customWidth="1"/>
    <col min="3331" max="3331" width="30.7109375" customWidth="1"/>
    <col min="3332" max="3332" width="25.7109375" customWidth="1"/>
    <col min="3333" max="3333" width="13.5703125" bestFit="1" customWidth="1"/>
    <col min="3585" max="3585" width="5.7109375" customWidth="1"/>
    <col min="3587" max="3587" width="30.7109375" customWidth="1"/>
    <col min="3588" max="3588" width="25.7109375" customWidth="1"/>
    <col min="3589" max="3589" width="13.5703125" bestFit="1" customWidth="1"/>
    <col min="3841" max="3841" width="5.7109375" customWidth="1"/>
    <col min="3843" max="3843" width="30.7109375" customWidth="1"/>
    <col min="3844" max="3844" width="25.7109375" customWidth="1"/>
    <col min="3845" max="3845" width="13.5703125" bestFit="1" customWidth="1"/>
    <col min="4097" max="4097" width="5.7109375" customWidth="1"/>
    <col min="4099" max="4099" width="30.7109375" customWidth="1"/>
    <col min="4100" max="4100" width="25.7109375" customWidth="1"/>
    <col min="4101" max="4101" width="13.5703125" bestFit="1" customWidth="1"/>
    <col min="4353" max="4353" width="5.7109375" customWidth="1"/>
    <col min="4355" max="4355" width="30.7109375" customWidth="1"/>
    <col min="4356" max="4356" width="25.7109375" customWidth="1"/>
    <col min="4357" max="4357" width="13.5703125" bestFit="1" customWidth="1"/>
    <col min="4609" max="4609" width="5.7109375" customWidth="1"/>
    <col min="4611" max="4611" width="30.7109375" customWidth="1"/>
    <col min="4612" max="4612" width="25.7109375" customWidth="1"/>
    <col min="4613" max="4613" width="13.5703125" bestFit="1" customWidth="1"/>
    <col min="4865" max="4865" width="5.7109375" customWidth="1"/>
    <col min="4867" max="4867" width="30.7109375" customWidth="1"/>
    <col min="4868" max="4868" width="25.7109375" customWidth="1"/>
    <col min="4869" max="4869" width="13.5703125" bestFit="1" customWidth="1"/>
    <col min="5121" max="5121" width="5.7109375" customWidth="1"/>
    <col min="5123" max="5123" width="30.7109375" customWidth="1"/>
    <col min="5124" max="5124" width="25.7109375" customWidth="1"/>
    <col min="5125" max="5125" width="13.5703125" bestFit="1" customWidth="1"/>
    <col min="5377" max="5377" width="5.7109375" customWidth="1"/>
    <col min="5379" max="5379" width="30.7109375" customWidth="1"/>
    <col min="5380" max="5380" width="25.7109375" customWidth="1"/>
    <col min="5381" max="5381" width="13.5703125" bestFit="1" customWidth="1"/>
    <col min="5633" max="5633" width="5.7109375" customWidth="1"/>
    <col min="5635" max="5635" width="30.7109375" customWidth="1"/>
    <col min="5636" max="5636" width="25.7109375" customWidth="1"/>
    <col min="5637" max="5637" width="13.5703125" bestFit="1" customWidth="1"/>
    <col min="5889" max="5889" width="5.7109375" customWidth="1"/>
    <col min="5891" max="5891" width="30.7109375" customWidth="1"/>
    <col min="5892" max="5892" width="25.7109375" customWidth="1"/>
    <col min="5893" max="5893" width="13.5703125" bestFit="1" customWidth="1"/>
    <col min="6145" max="6145" width="5.7109375" customWidth="1"/>
    <col min="6147" max="6147" width="30.7109375" customWidth="1"/>
    <col min="6148" max="6148" width="25.7109375" customWidth="1"/>
    <col min="6149" max="6149" width="13.5703125" bestFit="1" customWidth="1"/>
    <col min="6401" max="6401" width="5.7109375" customWidth="1"/>
    <col min="6403" max="6403" width="30.7109375" customWidth="1"/>
    <col min="6404" max="6404" width="25.7109375" customWidth="1"/>
    <col min="6405" max="6405" width="13.5703125" bestFit="1" customWidth="1"/>
    <col min="6657" max="6657" width="5.7109375" customWidth="1"/>
    <col min="6659" max="6659" width="30.7109375" customWidth="1"/>
    <col min="6660" max="6660" width="25.7109375" customWidth="1"/>
    <col min="6661" max="6661" width="13.5703125" bestFit="1" customWidth="1"/>
    <col min="6913" max="6913" width="5.7109375" customWidth="1"/>
    <col min="6915" max="6915" width="30.7109375" customWidth="1"/>
    <col min="6916" max="6916" width="25.7109375" customWidth="1"/>
    <col min="6917" max="6917" width="13.5703125" bestFit="1" customWidth="1"/>
    <col min="7169" max="7169" width="5.7109375" customWidth="1"/>
    <col min="7171" max="7171" width="30.7109375" customWidth="1"/>
    <col min="7172" max="7172" width="25.7109375" customWidth="1"/>
    <col min="7173" max="7173" width="13.5703125" bestFit="1" customWidth="1"/>
    <col min="7425" max="7425" width="5.7109375" customWidth="1"/>
    <col min="7427" max="7427" width="30.7109375" customWidth="1"/>
    <col min="7428" max="7428" width="25.7109375" customWidth="1"/>
    <col min="7429" max="7429" width="13.5703125" bestFit="1" customWidth="1"/>
    <col min="7681" max="7681" width="5.7109375" customWidth="1"/>
    <col min="7683" max="7683" width="30.7109375" customWidth="1"/>
    <col min="7684" max="7684" width="25.7109375" customWidth="1"/>
    <col min="7685" max="7685" width="13.5703125" bestFit="1" customWidth="1"/>
    <col min="7937" max="7937" width="5.7109375" customWidth="1"/>
    <col min="7939" max="7939" width="30.7109375" customWidth="1"/>
    <col min="7940" max="7940" width="25.7109375" customWidth="1"/>
    <col min="7941" max="7941" width="13.5703125" bestFit="1" customWidth="1"/>
    <col min="8193" max="8193" width="5.7109375" customWidth="1"/>
    <col min="8195" max="8195" width="30.7109375" customWidth="1"/>
    <col min="8196" max="8196" width="25.7109375" customWidth="1"/>
    <col min="8197" max="8197" width="13.5703125" bestFit="1" customWidth="1"/>
    <col min="8449" max="8449" width="5.7109375" customWidth="1"/>
    <col min="8451" max="8451" width="30.7109375" customWidth="1"/>
    <col min="8452" max="8452" width="25.7109375" customWidth="1"/>
    <col min="8453" max="8453" width="13.5703125" bestFit="1" customWidth="1"/>
    <col min="8705" max="8705" width="5.7109375" customWidth="1"/>
    <col min="8707" max="8707" width="30.7109375" customWidth="1"/>
    <col min="8708" max="8708" width="25.7109375" customWidth="1"/>
    <col min="8709" max="8709" width="13.5703125" bestFit="1" customWidth="1"/>
    <col min="8961" max="8961" width="5.7109375" customWidth="1"/>
    <col min="8963" max="8963" width="30.7109375" customWidth="1"/>
    <col min="8964" max="8964" width="25.7109375" customWidth="1"/>
    <col min="8965" max="8965" width="13.5703125" bestFit="1" customWidth="1"/>
    <col min="9217" max="9217" width="5.7109375" customWidth="1"/>
    <col min="9219" max="9219" width="30.7109375" customWidth="1"/>
    <col min="9220" max="9220" width="25.7109375" customWidth="1"/>
    <col min="9221" max="9221" width="13.5703125" bestFit="1" customWidth="1"/>
    <col min="9473" max="9473" width="5.7109375" customWidth="1"/>
    <col min="9475" max="9475" width="30.7109375" customWidth="1"/>
    <col min="9476" max="9476" width="25.7109375" customWidth="1"/>
    <col min="9477" max="9477" width="13.5703125" bestFit="1" customWidth="1"/>
    <col min="9729" max="9729" width="5.7109375" customWidth="1"/>
    <col min="9731" max="9731" width="30.7109375" customWidth="1"/>
    <col min="9732" max="9732" width="25.7109375" customWidth="1"/>
    <col min="9733" max="9733" width="13.5703125" bestFit="1" customWidth="1"/>
    <col min="9985" max="9985" width="5.7109375" customWidth="1"/>
    <col min="9987" max="9987" width="30.7109375" customWidth="1"/>
    <col min="9988" max="9988" width="25.7109375" customWidth="1"/>
    <col min="9989" max="9989" width="13.5703125" bestFit="1" customWidth="1"/>
    <col min="10241" max="10241" width="5.7109375" customWidth="1"/>
    <col min="10243" max="10243" width="30.7109375" customWidth="1"/>
    <col min="10244" max="10244" width="25.7109375" customWidth="1"/>
    <col min="10245" max="10245" width="13.5703125" bestFit="1" customWidth="1"/>
    <col min="10497" max="10497" width="5.7109375" customWidth="1"/>
    <col min="10499" max="10499" width="30.7109375" customWidth="1"/>
    <col min="10500" max="10500" width="25.7109375" customWidth="1"/>
    <col min="10501" max="10501" width="13.5703125" bestFit="1" customWidth="1"/>
    <col min="10753" max="10753" width="5.7109375" customWidth="1"/>
    <col min="10755" max="10755" width="30.7109375" customWidth="1"/>
    <col min="10756" max="10756" width="25.7109375" customWidth="1"/>
    <col min="10757" max="10757" width="13.5703125" bestFit="1" customWidth="1"/>
    <col min="11009" max="11009" width="5.7109375" customWidth="1"/>
    <col min="11011" max="11011" width="30.7109375" customWidth="1"/>
    <col min="11012" max="11012" width="25.7109375" customWidth="1"/>
    <col min="11013" max="11013" width="13.5703125" bestFit="1" customWidth="1"/>
    <col min="11265" max="11265" width="5.7109375" customWidth="1"/>
    <col min="11267" max="11267" width="30.7109375" customWidth="1"/>
    <col min="11268" max="11268" width="25.7109375" customWidth="1"/>
    <col min="11269" max="11269" width="13.5703125" bestFit="1" customWidth="1"/>
    <col min="11521" max="11521" width="5.7109375" customWidth="1"/>
    <col min="11523" max="11523" width="30.7109375" customWidth="1"/>
    <col min="11524" max="11524" width="25.7109375" customWidth="1"/>
    <col min="11525" max="11525" width="13.5703125" bestFit="1" customWidth="1"/>
    <col min="11777" max="11777" width="5.7109375" customWidth="1"/>
    <col min="11779" max="11779" width="30.7109375" customWidth="1"/>
    <col min="11780" max="11780" width="25.7109375" customWidth="1"/>
    <col min="11781" max="11781" width="13.5703125" bestFit="1" customWidth="1"/>
    <col min="12033" max="12033" width="5.7109375" customWidth="1"/>
    <col min="12035" max="12035" width="30.7109375" customWidth="1"/>
    <col min="12036" max="12036" width="25.7109375" customWidth="1"/>
    <col min="12037" max="12037" width="13.5703125" bestFit="1" customWidth="1"/>
    <col min="12289" max="12289" width="5.7109375" customWidth="1"/>
    <col min="12291" max="12291" width="30.7109375" customWidth="1"/>
    <col min="12292" max="12292" width="25.7109375" customWidth="1"/>
    <col min="12293" max="12293" width="13.5703125" bestFit="1" customWidth="1"/>
    <col min="12545" max="12545" width="5.7109375" customWidth="1"/>
    <col min="12547" max="12547" width="30.7109375" customWidth="1"/>
    <col min="12548" max="12548" width="25.7109375" customWidth="1"/>
    <col min="12549" max="12549" width="13.5703125" bestFit="1" customWidth="1"/>
    <col min="12801" max="12801" width="5.7109375" customWidth="1"/>
    <col min="12803" max="12803" width="30.7109375" customWidth="1"/>
    <col min="12804" max="12804" width="25.7109375" customWidth="1"/>
    <col min="12805" max="12805" width="13.5703125" bestFit="1" customWidth="1"/>
    <col min="13057" max="13057" width="5.7109375" customWidth="1"/>
    <col min="13059" max="13059" width="30.7109375" customWidth="1"/>
    <col min="13060" max="13060" width="25.7109375" customWidth="1"/>
    <col min="13061" max="13061" width="13.5703125" bestFit="1" customWidth="1"/>
    <col min="13313" max="13313" width="5.7109375" customWidth="1"/>
    <col min="13315" max="13315" width="30.7109375" customWidth="1"/>
    <col min="13316" max="13316" width="25.7109375" customWidth="1"/>
    <col min="13317" max="13317" width="13.5703125" bestFit="1" customWidth="1"/>
    <col min="13569" max="13569" width="5.7109375" customWidth="1"/>
    <col min="13571" max="13571" width="30.7109375" customWidth="1"/>
    <col min="13572" max="13572" width="25.7109375" customWidth="1"/>
    <col min="13573" max="13573" width="13.5703125" bestFit="1" customWidth="1"/>
    <col min="13825" max="13825" width="5.7109375" customWidth="1"/>
    <col min="13827" max="13827" width="30.7109375" customWidth="1"/>
    <col min="13828" max="13828" width="25.7109375" customWidth="1"/>
    <col min="13829" max="13829" width="13.5703125" bestFit="1" customWidth="1"/>
    <col min="14081" max="14081" width="5.7109375" customWidth="1"/>
    <col min="14083" max="14083" width="30.7109375" customWidth="1"/>
    <col min="14084" max="14084" width="25.7109375" customWidth="1"/>
    <col min="14085" max="14085" width="13.5703125" bestFit="1" customWidth="1"/>
    <col min="14337" max="14337" width="5.7109375" customWidth="1"/>
    <col min="14339" max="14339" width="30.7109375" customWidth="1"/>
    <col min="14340" max="14340" width="25.7109375" customWidth="1"/>
    <col min="14341" max="14341" width="13.5703125" bestFit="1" customWidth="1"/>
    <col min="14593" max="14593" width="5.7109375" customWidth="1"/>
    <col min="14595" max="14595" width="30.7109375" customWidth="1"/>
    <col min="14596" max="14596" width="25.7109375" customWidth="1"/>
    <col min="14597" max="14597" width="13.5703125" bestFit="1" customWidth="1"/>
    <col min="14849" max="14849" width="5.7109375" customWidth="1"/>
    <col min="14851" max="14851" width="30.7109375" customWidth="1"/>
    <col min="14852" max="14852" width="25.7109375" customWidth="1"/>
    <col min="14853" max="14853" width="13.5703125" bestFit="1" customWidth="1"/>
    <col min="15105" max="15105" width="5.7109375" customWidth="1"/>
    <col min="15107" max="15107" width="30.7109375" customWidth="1"/>
    <col min="15108" max="15108" width="25.7109375" customWidth="1"/>
    <col min="15109" max="15109" width="13.5703125" bestFit="1" customWidth="1"/>
    <col min="15361" max="15361" width="5.7109375" customWidth="1"/>
    <col min="15363" max="15363" width="30.7109375" customWidth="1"/>
    <col min="15364" max="15364" width="25.7109375" customWidth="1"/>
    <col min="15365" max="15365" width="13.5703125" bestFit="1" customWidth="1"/>
    <col min="15617" max="15617" width="5.7109375" customWidth="1"/>
    <col min="15619" max="15619" width="30.7109375" customWidth="1"/>
    <col min="15620" max="15620" width="25.7109375" customWidth="1"/>
    <col min="15621" max="15621" width="13.5703125" bestFit="1" customWidth="1"/>
    <col min="15873" max="15873" width="5.7109375" customWidth="1"/>
    <col min="15875" max="15875" width="30.7109375" customWidth="1"/>
    <col min="15876" max="15876" width="25.7109375" customWidth="1"/>
    <col min="15877" max="15877" width="13.5703125" bestFit="1" customWidth="1"/>
    <col min="16129" max="16129" width="5.7109375" customWidth="1"/>
    <col min="16131" max="16131" width="30.7109375" customWidth="1"/>
    <col min="16132" max="16132" width="25.7109375" customWidth="1"/>
    <col min="16133" max="16133" width="13.5703125" bestFit="1" customWidth="1"/>
  </cols>
  <sheetData>
    <row r="1" spans="2:8" ht="13.5" thickBot="1">
      <c r="G1" s="562"/>
    </row>
    <row r="2" spans="2:8">
      <c r="B2" s="67"/>
      <c r="C2" s="68"/>
      <c r="D2" s="68"/>
      <c r="E2" s="68"/>
      <c r="F2" s="69"/>
      <c r="G2" s="562"/>
      <c r="H2" s="562"/>
    </row>
    <row r="3" spans="2:8">
      <c r="B3" s="70"/>
      <c r="C3" s="956" t="s">
        <v>189</v>
      </c>
      <c r="D3" s="956"/>
      <c r="E3" s="956"/>
      <c r="F3" s="71"/>
      <c r="G3" s="562"/>
      <c r="H3" s="562"/>
    </row>
    <row r="4" spans="2:8">
      <c r="B4" s="70"/>
      <c r="C4" s="956" t="s">
        <v>212</v>
      </c>
      <c r="D4" s="956"/>
      <c r="E4" s="956"/>
      <c r="F4" s="73"/>
      <c r="G4" s="562"/>
      <c r="H4" s="562"/>
    </row>
    <row r="5" spans="2:8" ht="13.5" thickBot="1">
      <c r="B5" s="74"/>
      <c r="C5" s="957" t="s">
        <v>1</v>
      </c>
      <c r="D5" s="958"/>
      <c r="E5" s="958"/>
      <c r="F5" s="75"/>
      <c r="G5" s="562"/>
      <c r="H5" s="562"/>
    </row>
    <row r="6" spans="2:8">
      <c r="B6" s="67"/>
      <c r="C6" s="68"/>
      <c r="D6" s="68"/>
      <c r="E6" s="68"/>
      <c r="F6" s="69"/>
      <c r="G6" s="562"/>
    </row>
    <row r="7" spans="2:8">
      <c r="B7" s="76" t="s">
        <v>191</v>
      </c>
      <c r="C7" s="77" t="s">
        <v>192</v>
      </c>
      <c r="D7" s="562"/>
      <c r="E7" s="562"/>
      <c r="F7" s="71"/>
    </row>
    <row r="8" spans="2:8">
      <c r="B8" s="70" t="s">
        <v>222</v>
      </c>
      <c r="C8" s="562" t="s">
        <v>193</v>
      </c>
      <c r="D8" s="562"/>
      <c r="E8" s="78">
        <v>0</v>
      </c>
      <c r="F8" s="71"/>
    </row>
    <row r="9" spans="2:8">
      <c r="B9" s="70" t="s">
        <v>224</v>
      </c>
      <c r="C9" s="562" t="s">
        <v>194</v>
      </c>
      <c r="D9" s="562"/>
      <c r="E9" s="566">
        <v>0</v>
      </c>
      <c r="F9" s="71"/>
    </row>
    <row r="10" spans="2:8">
      <c r="B10" s="70" t="s">
        <v>226</v>
      </c>
      <c r="C10" s="562" t="s">
        <v>195</v>
      </c>
      <c r="D10" s="562"/>
      <c r="E10" s="566">
        <v>0.08</v>
      </c>
      <c r="F10" s="71"/>
    </row>
    <row r="11" spans="2:8">
      <c r="B11" s="70" t="s">
        <v>228</v>
      </c>
      <c r="C11" s="562" t="s">
        <v>196</v>
      </c>
      <c r="D11" s="562"/>
      <c r="E11" s="566">
        <v>2E-3</v>
      </c>
      <c r="F11" s="71"/>
    </row>
    <row r="12" spans="2:8">
      <c r="B12" s="70" t="s">
        <v>669</v>
      </c>
      <c r="C12" s="562" t="s">
        <v>197</v>
      </c>
      <c r="D12" s="562"/>
      <c r="E12" s="566">
        <v>2.5000000000000001E-2</v>
      </c>
      <c r="F12" s="71"/>
    </row>
    <row r="13" spans="2:8">
      <c r="B13" s="70" t="s">
        <v>670</v>
      </c>
      <c r="C13" s="562" t="s">
        <v>198</v>
      </c>
      <c r="D13" s="562"/>
      <c r="E13" s="566">
        <v>6.0000000000000001E-3</v>
      </c>
      <c r="F13" s="71"/>
    </row>
    <row r="14" spans="2:8">
      <c r="B14" s="70" t="s">
        <v>671</v>
      </c>
      <c r="C14" s="562" t="s">
        <v>199</v>
      </c>
      <c r="D14" s="562"/>
      <c r="E14" s="566">
        <v>0.03</v>
      </c>
      <c r="F14" s="71"/>
    </row>
    <row r="15" spans="2:8">
      <c r="B15" s="70" t="s">
        <v>672</v>
      </c>
      <c r="C15" s="562" t="s">
        <v>200</v>
      </c>
      <c r="D15" s="562"/>
      <c r="E15" s="566">
        <v>0.01</v>
      </c>
      <c r="F15" s="71"/>
    </row>
    <row r="16" spans="2:8">
      <c r="B16" s="70" t="s">
        <v>673</v>
      </c>
      <c r="C16" s="562" t="s">
        <v>201</v>
      </c>
      <c r="D16" s="562"/>
      <c r="E16" s="78">
        <v>1.4999999999999999E-2</v>
      </c>
      <c r="F16" s="71"/>
    </row>
    <row r="17" spans="2:6">
      <c r="B17" s="70"/>
      <c r="C17" s="77" t="s">
        <v>119</v>
      </c>
      <c r="D17" s="562"/>
      <c r="E17" s="79">
        <f>ROUND(SUM(E8:E16),4)</f>
        <v>0.16800000000000001</v>
      </c>
      <c r="F17" s="80" t="s">
        <v>202</v>
      </c>
    </row>
    <row r="18" spans="2:6">
      <c r="B18" s="70"/>
      <c r="C18" s="562"/>
      <c r="D18" s="562"/>
      <c r="E18" s="562"/>
      <c r="F18" s="71"/>
    </row>
    <row r="19" spans="2:6">
      <c r="B19" s="76" t="s">
        <v>203</v>
      </c>
      <c r="C19" s="77" t="s">
        <v>204</v>
      </c>
      <c r="D19" s="77"/>
      <c r="E19" s="562"/>
      <c r="F19" s="71"/>
    </row>
    <row r="20" spans="2:6">
      <c r="B20" s="70" t="s">
        <v>231</v>
      </c>
      <c r="C20" s="562" t="s">
        <v>674</v>
      </c>
      <c r="D20" s="81"/>
      <c r="E20" s="78">
        <v>0</v>
      </c>
      <c r="F20" s="71"/>
    </row>
    <row r="21" spans="2:6">
      <c r="B21" s="70" t="s">
        <v>233</v>
      </c>
      <c r="C21" s="562" t="s">
        <v>675</v>
      </c>
      <c r="D21" s="81"/>
      <c r="E21" s="566">
        <v>0</v>
      </c>
      <c r="F21" s="71"/>
    </row>
    <row r="22" spans="2:6">
      <c r="B22" s="70" t="s">
        <v>676</v>
      </c>
      <c r="C22" s="562" t="s">
        <v>677</v>
      </c>
      <c r="D22" s="81"/>
      <c r="E22" s="566">
        <v>6.8999999999999999E-3</v>
      </c>
      <c r="F22" s="71"/>
    </row>
    <row r="23" spans="2:6">
      <c r="B23" s="70" t="s">
        <v>678</v>
      </c>
      <c r="C23" s="562" t="s">
        <v>679</v>
      </c>
      <c r="D23" s="81"/>
      <c r="E23" s="566">
        <v>8.3299999999999999E-2</v>
      </c>
      <c r="F23" s="71"/>
    </row>
    <row r="24" spans="2:6">
      <c r="B24" s="70" t="s">
        <v>680</v>
      </c>
      <c r="C24" s="562" t="s">
        <v>681</v>
      </c>
      <c r="D24" s="81"/>
      <c r="E24" s="566">
        <v>5.9999999999999995E-4</v>
      </c>
      <c r="F24" s="71"/>
    </row>
    <row r="25" spans="2:6">
      <c r="B25" s="70" t="s">
        <v>682</v>
      </c>
      <c r="C25" s="562" t="s">
        <v>683</v>
      </c>
      <c r="D25" s="81"/>
      <c r="E25" s="566">
        <v>5.5999999999999999E-3</v>
      </c>
      <c r="F25" s="71"/>
    </row>
    <row r="26" spans="2:6">
      <c r="B26" s="70" t="s">
        <v>684</v>
      </c>
      <c r="C26" s="562" t="s">
        <v>685</v>
      </c>
      <c r="D26" s="81"/>
      <c r="E26" s="566">
        <v>0</v>
      </c>
      <c r="F26" s="71"/>
    </row>
    <row r="27" spans="2:6">
      <c r="B27" s="70" t="s">
        <v>686</v>
      </c>
      <c r="C27" s="562" t="s">
        <v>687</v>
      </c>
      <c r="D27" s="81"/>
      <c r="E27" s="566">
        <v>8.9999999999999998E-4</v>
      </c>
      <c r="F27" s="71"/>
    </row>
    <row r="28" spans="2:6">
      <c r="B28" s="70" t="s">
        <v>688</v>
      </c>
      <c r="C28" s="562" t="s">
        <v>689</v>
      </c>
      <c r="D28" s="81"/>
      <c r="E28" s="78">
        <v>7.9399999999999998E-2</v>
      </c>
      <c r="F28" s="71"/>
    </row>
    <row r="29" spans="2:6">
      <c r="B29" s="70" t="s">
        <v>690</v>
      </c>
      <c r="C29" s="562" t="s">
        <v>691</v>
      </c>
      <c r="D29" s="81"/>
      <c r="E29" s="78">
        <v>2.0000000000000001E-4</v>
      </c>
      <c r="F29" s="71"/>
    </row>
    <row r="30" spans="2:6">
      <c r="B30" s="70"/>
      <c r="C30" s="77" t="s">
        <v>119</v>
      </c>
      <c r="D30" s="562"/>
      <c r="E30" s="79">
        <f>SUM(E20:E29)</f>
        <v>0.1769</v>
      </c>
      <c r="F30" s="80" t="s">
        <v>120</v>
      </c>
    </row>
    <row r="31" spans="2:6">
      <c r="B31" s="70"/>
      <c r="C31" s="562"/>
      <c r="D31" s="562"/>
      <c r="E31" s="562"/>
      <c r="F31" s="71"/>
    </row>
    <row r="32" spans="2:6">
      <c r="B32" s="76" t="s">
        <v>205</v>
      </c>
      <c r="C32" s="77" t="s">
        <v>206</v>
      </c>
      <c r="D32" s="77"/>
      <c r="E32" s="562"/>
      <c r="F32" s="71"/>
    </row>
    <row r="33" spans="2:10">
      <c r="B33" s="70" t="s">
        <v>236</v>
      </c>
      <c r="C33" s="565" t="s">
        <v>692</v>
      </c>
      <c r="D33" s="565"/>
      <c r="E33" s="78">
        <v>5.2999999999999999E-2</v>
      </c>
      <c r="F33" s="71"/>
    </row>
    <row r="34" spans="2:10">
      <c r="B34" s="70" t="s">
        <v>238</v>
      </c>
      <c r="C34" s="565" t="s">
        <v>693</v>
      </c>
      <c r="D34" s="565"/>
      <c r="E34" s="78">
        <v>2.8E-3</v>
      </c>
      <c r="F34" s="71"/>
    </row>
    <row r="35" spans="2:10">
      <c r="B35" s="70" t="s">
        <v>694</v>
      </c>
      <c r="C35" s="565" t="s">
        <v>695</v>
      </c>
      <c r="D35" s="565"/>
      <c r="E35" s="78">
        <v>2.98E-2</v>
      </c>
      <c r="F35" s="71"/>
    </row>
    <row r="36" spans="2:10">
      <c r="B36" s="70" t="s">
        <v>696</v>
      </c>
      <c r="C36" s="562" t="s">
        <v>697</v>
      </c>
      <c r="D36" s="81" t="s">
        <v>1</v>
      </c>
      <c r="E36" s="82">
        <v>4.0500000000000001E-2</v>
      </c>
      <c r="F36" s="71"/>
    </row>
    <row r="37" spans="2:10">
      <c r="B37" s="70" t="s">
        <v>698</v>
      </c>
      <c r="C37" s="562" t="s">
        <v>699</v>
      </c>
      <c r="D37" s="81" t="s">
        <v>1</v>
      </c>
      <c r="E37" s="82">
        <v>4.4999999999999997E-3</v>
      </c>
      <c r="F37" s="71"/>
      <c r="H37" s="90" t="s">
        <v>1</v>
      </c>
    </row>
    <row r="38" spans="2:10">
      <c r="B38" s="70"/>
      <c r="C38" s="77" t="s">
        <v>119</v>
      </c>
      <c r="D38" s="562"/>
      <c r="E38" s="79">
        <f>ROUND(SUM(E33:E37),4)</f>
        <v>0.13059999999999999</v>
      </c>
      <c r="F38" s="80" t="s">
        <v>207</v>
      </c>
      <c r="G38" s="565"/>
      <c r="H38" s="565"/>
      <c r="I38" s="565"/>
      <c r="J38" s="565"/>
    </row>
    <row r="39" spans="2:10">
      <c r="B39" s="70"/>
      <c r="C39" s="562"/>
      <c r="D39" s="562"/>
      <c r="E39" s="562"/>
      <c r="F39" s="71"/>
      <c r="G39" s="565" t="s">
        <v>1</v>
      </c>
      <c r="H39" s="565"/>
      <c r="I39" s="565"/>
      <c r="J39" s="565"/>
    </row>
    <row r="40" spans="2:10">
      <c r="B40" s="76" t="s">
        <v>208</v>
      </c>
      <c r="C40" s="77" t="s">
        <v>209</v>
      </c>
      <c r="D40" s="562"/>
      <c r="E40" s="562"/>
      <c r="F40" s="71"/>
      <c r="G40" s="565" t="s">
        <v>1</v>
      </c>
      <c r="H40" s="565"/>
      <c r="I40" s="565"/>
      <c r="J40" s="565"/>
    </row>
    <row r="41" spans="2:10">
      <c r="B41" s="70" t="s">
        <v>240</v>
      </c>
      <c r="C41" s="562" t="s">
        <v>700</v>
      </c>
      <c r="D41" s="562"/>
      <c r="E41" s="82">
        <f>E17*E30</f>
        <v>2.9700000000000001E-2</v>
      </c>
      <c r="F41" s="71"/>
    </row>
    <row r="42" spans="2:10" ht="51">
      <c r="B42" s="70" t="s">
        <v>242</v>
      </c>
      <c r="C42" s="563" t="s">
        <v>701</v>
      </c>
      <c r="D42" s="562"/>
      <c r="E42" s="82">
        <f>E17*E34+E10*E33</f>
        <v>4.7000000000000002E-3</v>
      </c>
      <c r="F42" s="71"/>
    </row>
    <row r="43" spans="2:10">
      <c r="B43" s="70"/>
      <c r="C43" s="77" t="s">
        <v>119</v>
      </c>
      <c r="D43" s="562"/>
      <c r="E43" s="79">
        <f>E42+E41</f>
        <v>3.44E-2</v>
      </c>
      <c r="F43" s="80" t="s">
        <v>210</v>
      </c>
    </row>
    <row r="44" spans="2:10">
      <c r="B44" s="70"/>
      <c r="C44" s="562"/>
      <c r="D44" s="562"/>
      <c r="E44" s="562"/>
      <c r="F44" s="71"/>
    </row>
    <row r="45" spans="2:10" ht="13.5" thickBot="1">
      <c r="B45" s="74"/>
      <c r="C45" s="83" t="s">
        <v>211</v>
      </c>
      <c r="D45" s="84"/>
      <c r="E45" s="85">
        <f>ROUND(E17+E30+E38+E43,4)</f>
        <v>0.50990000000000002</v>
      </c>
      <c r="F45" s="86"/>
    </row>
    <row r="46" spans="2:10">
      <c r="B46" s="562"/>
      <c r="C46" s="562"/>
      <c r="D46" s="562"/>
      <c r="E46" s="87"/>
      <c r="F46" s="562"/>
    </row>
    <row r="47" spans="2:10">
      <c r="B47" s="562"/>
      <c r="C47" s="562"/>
      <c r="D47" s="562"/>
      <c r="E47" s="87"/>
      <c r="F47" s="562"/>
    </row>
    <row r="49" spans="2:7">
      <c r="B49" s="88"/>
    </row>
    <row r="51" spans="2:7">
      <c r="C51" s="564"/>
      <c r="D51" s="564"/>
      <c r="E51" s="89"/>
    </row>
    <row r="52" spans="2:7">
      <c r="E52" s="72"/>
    </row>
    <row r="55" spans="2:7">
      <c r="B55" s="88"/>
    </row>
    <row r="59" spans="2:7">
      <c r="D59" s="955"/>
      <c r="E59" s="955"/>
      <c r="F59" s="955"/>
      <c r="G59" s="955"/>
    </row>
  </sheetData>
  <mergeCells count="4">
    <mergeCell ref="D59:G59"/>
    <mergeCell ref="C3:E3"/>
    <mergeCell ref="C4:E4"/>
    <mergeCell ref="C5:E5"/>
  </mergeCells>
  <phoneticPr fontId="13" type="noConversion"/>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dimension ref="B1:D56"/>
  <sheetViews>
    <sheetView topLeftCell="A34" zoomScaleNormal="100" workbookViewId="0">
      <selection sqref="A1:D2"/>
    </sheetView>
  </sheetViews>
  <sheetFormatPr defaultColWidth="12.7109375" defaultRowHeight="15"/>
  <cols>
    <col min="1" max="1" width="1.7109375" style="232" customWidth="1"/>
    <col min="2" max="2" width="8.28515625" style="232" customWidth="1"/>
    <col min="3" max="3" width="59.7109375" style="232" customWidth="1"/>
    <col min="4" max="4" width="21.7109375" style="232" customWidth="1"/>
    <col min="5" max="5" width="2.85546875" style="232" customWidth="1"/>
    <col min="6" max="16384" width="12.7109375" style="232"/>
  </cols>
  <sheetData>
    <row r="1" spans="2:4" ht="7.5" customHeight="1" thickBot="1"/>
    <row r="2" spans="2:4" s="233" customFormat="1" ht="22.5" customHeight="1" thickBot="1">
      <c r="B2" s="959" t="s">
        <v>43</v>
      </c>
      <c r="C2" s="960"/>
      <c r="D2" s="961"/>
    </row>
    <row r="3" spans="2:4" ht="15.75" thickBot="1">
      <c r="B3" s="236"/>
      <c r="C3" s="234" t="s">
        <v>301</v>
      </c>
      <c r="D3" s="237"/>
    </row>
    <row r="4" spans="2:4" ht="15.75" thickBot="1">
      <c r="B4" s="238"/>
      <c r="C4" s="235" t="s">
        <v>665</v>
      </c>
      <c r="D4" s="239"/>
    </row>
    <row r="5" spans="2:4">
      <c r="B5" s="238"/>
      <c r="C5" s="113"/>
      <c r="D5" s="239"/>
    </row>
    <row r="6" spans="2:4">
      <c r="B6" s="238" t="s">
        <v>220</v>
      </c>
      <c r="C6" s="108" t="s">
        <v>221</v>
      </c>
      <c r="D6" s="239"/>
    </row>
    <row r="7" spans="2:4">
      <c r="B7" s="238" t="s">
        <v>222</v>
      </c>
      <c r="C7" s="109" t="s">
        <v>223</v>
      </c>
      <c r="D7" s="239">
        <v>36258</v>
      </c>
    </row>
    <row r="8" spans="2:4">
      <c r="B8" s="238" t="s">
        <v>224</v>
      </c>
      <c r="C8" s="109" t="s">
        <v>225</v>
      </c>
      <c r="D8" s="239">
        <v>36</v>
      </c>
    </row>
    <row r="9" spans="2:4">
      <c r="B9" s="238" t="s">
        <v>226</v>
      </c>
      <c r="C9" s="109" t="s">
        <v>227</v>
      </c>
      <c r="D9" s="240">
        <v>0.4</v>
      </c>
    </row>
    <row r="10" spans="2:4">
      <c r="B10" s="238" t="s">
        <v>228</v>
      </c>
      <c r="C10" s="109" t="s">
        <v>229</v>
      </c>
      <c r="D10" s="239">
        <f>(D7-(D9*D7))/D8</f>
        <v>604.29999999999995</v>
      </c>
    </row>
    <row r="11" spans="2:4">
      <c r="B11" s="238"/>
      <c r="C11" s="109"/>
      <c r="D11" s="239"/>
    </row>
    <row r="12" spans="2:4">
      <c r="B12" s="238" t="s">
        <v>120</v>
      </c>
      <c r="C12" s="108" t="s">
        <v>230</v>
      </c>
      <c r="D12" s="239"/>
    </row>
    <row r="13" spans="2:4">
      <c r="B13" s="238" t="s">
        <v>231</v>
      </c>
      <c r="C13" s="109" t="s">
        <v>232</v>
      </c>
      <c r="D13" s="240">
        <v>0.05</v>
      </c>
    </row>
    <row r="14" spans="2:4">
      <c r="B14" s="238" t="s">
        <v>233</v>
      </c>
      <c r="C14" s="110" t="s">
        <v>234</v>
      </c>
      <c r="D14" s="239">
        <f>D13*D10</f>
        <v>30.22</v>
      </c>
    </row>
    <row r="15" spans="2:4">
      <c r="B15" s="238"/>
      <c r="C15" s="108"/>
      <c r="D15" s="239"/>
    </row>
    <row r="16" spans="2:4">
      <c r="B16" s="238" t="s">
        <v>207</v>
      </c>
      <c r="C16" s="108" t="s">
        <v>235</v>
      </c>
      <c r="D16" s="239"/>
    </row>
    <row r="17" spans="2:4">
      <c r="B17" s="238" t="s">
        <v>236</v>
      </c>
      <c r="C17" s="109" t="s">
        <v>237</v>
      </c>
      <c r="D17" s="240">
        <v>1</v>
      </c>
    </row>
    <row r="18" spans="2:4">
      <c r="B18" s="238" t="s">
        <v>238</v>
      </c>
      <c r="C18" s="109" t="s">
        <v>239</v>
      </c>
      <c r="D18" s="239">
        <f>D17*D10</f>
        <v>604.29999999999995</v>
      </c>
    </row>
    <row r="19" spans="2:4">
      <c r="B19" s="238" t="s">
        <v>1</v>
      </c>
      <c r="C19" s="109" t="s">
        <v>1</v>
      </c>
      <c r="D19" s="583" t="s">
        <v>1</v>
      </c>
    </row>
    <row r="20" spans="2:4">
      <c r="B20" s="238" t="s">
        <v>210</v>
      </c>
      <c r="C20" s="108" t="s">
        <v>183</v>
      </c>
      <c r="D20" s="239"/>
    </row>
    <row r="21" spans="2:4">
      <c r="B21" s="238" t="s">
        <v>240</v>
      </c>
      <c r="C21" s="109" t="s">
        <v>241</v>
      </c>
      <c r="D21" s="239">
        <v>3000</v>
      </c>
    </row>
    <row r="22" spans="2:4">
      <c r="B22" s="238" t="s">
        <v>242</v>
      </c>
      <c r="C22" s="109" t="s">
        <v>243</v>
      </c>
      <c r="D22" s="239">
        <v>2.78</v>
      </c>
    </row>
    <row r="23" spans="2:4">
      <c r="B23" s="238" t="s">
        <v>244</v>
      </c>
      <c r="C23" s="109" t="s">
        <v>245</v>
      </c>
      <c r="D23" s="239">
        <v>10</v>
      </c>
    </row>
    <row r="24" spans="2:4">
      <c r="B24" s="238" t="s">
        <v>246</v>
      </c>
      <c r="C24" s="109" t="s">
        <v>247</v>
      </c>
      <c r="D24" s="239">
        <f>(D21/D23)*D22</f>
        <v>834</v>
      </c>
    </row>
    <row r="25" spans="2:4">
      <c r="B25" s="238"/>
      <c r="C25" s="109"/>
      <c r="D25" s="239"/>
    </row>
    <row r="26" spans="2:4">
      <c r="B26" s="238" t="s">
        <v>248</v>
      </c>
      <c r="C26" s="108" t="s">
        <v>186</v>
      </c>
      <c r="D26" s="239"/>
    </row>
    <row r="27" spans="2:4">
      <c r="B27" s="238" t="s">
        <v>249</v>
      </c>
      <c r="C27" s="109" t="s">
        <v>250</v>
      </c>
      <c r="D27" s="239">
        <f>D21*3</f>
        <v>9000</v>
      </c>
    </row>
    <row r="28" spans="2:4">
      <c r="B28" s="238" t="s">
        <v>251</v>
      </c>
      <c r="C28" s="109" t="s">
        <v>252</v>
      </c>
      <c r="D28" s="239">
        <v>5000</v>
      </c>
    </row>
    <row r="29" spans="2:4">
      <c r="B29" s="238" t="s">
        <v>253</v>
      </c>
      <c r="C29" s="109" t="s">
        <v>254</v>
      </c>
      <c r="D29" s="239">
        <v>14</v>
      </c>
    </row>
    <row r="30" spans="2:4">
      <c r="B30" s="238" t="s">
        <v>255</v>
      </c>
      <c r="C30" s="109" t="s">
        <v>256</v>
      </c>
      <c r="D30" s="239">
        <v>3.5</v>
      </c>
    </row>
    <row r="31" spans="2:4">
      <c r="B31" s="238" t="s">
        <v>257</v>
      </c>
      <c r="C31" s="109" t="s">
        <v>258</v>
      </c>
      <c r="D31" s="239">
        <v>90</v>
      </c>
    </row>
    <row r="32" spans="2:4">
      <c r="B32" s="238" t="s">
        <v>259</v>
      </c>
      <c r="C32" s="109" t="s">
        <v>260</v>
      </c>
      <c r="D32" s="241">
        <f>(D27*D29*D30*30)/(D28*D31)</f>
        <v>29.4</v>
      </c>
    </row>
    <row r="33" spans="2:4">
      <c r="B33" s="238"/>
      <c r="C33" s="109"/>
      <c r="D33" s="242"/>
    </row>
    <row r="34" spans="2:4">
      <c r="B34" s="238" t="s">
        <v>261</v>
      </c>
      <c r="C34" s="108" t="s">
        <v>168</v>
      </c>
      <c r="D34" s="242"/>
    </row>
    <row r="35" spans="2:4">
      <c r="B35" s="238" t="s">
        <v>262</v>
      </c>
      <c r="C35" s="109" t="s">
        <v>250</v>
      </c>
      <c r="D35" s="239">
        <f>D21*3</f>
        <v>9000</v>
      </c>
    </row>
    <row r="36" spans="2:4">
      <c r="B36" s="238" t="s">
        <v>263</v>
      </c>
      <c r="C36" s="109" t="s">
        <v>264</v>
      </c>
      <c r="D36" s="239">
        <v>45000</v>
      </c>
    </row>
    <row r="37" spans="2:4">
      <c r="B37" s="238" t="s">
        <v>265</v>
      </c>
      <c r="C37" s="109" t="s">
        <v>266</v>
      </c>
      <c r="D37" s="239">
        <v>5</v>
      </c>
    </row>
    <row r="38" spans="2:4">
      <c r="B38" s="238" t="s">
        <v>267</v>
      </c>
      <c r="C38" s="109" t="s">
        <v>268</v>
      </c>
      <c r="D38" s="583">
        <v>302.20999999999998</v>
      </c>
    </row>
    <row r="39" spans="2:4">
      <c r="B39" s="238" t="s">
        <v>269</v>
      </c>
      <c r="C39" s="109" t="s">
        <v>270</v>
      </c>
      <c r="D39" s="239">
        <v>90</v>
      </c>
    </row>
    <row r="40" spans="2:4">
      <c r="B40" s="238" t="s">
        <v>271</v>
      </c>
      <c r="C40" s="109" t="s">
        <v>272</v>
      </c>
      <c r="D40" s="239">
        <f>(D35*D37*D38*30)/(D36*D39)</f>
        <v>100.74</v>
      </c>
    </row>
    <row r="41" spans="2:4">
      <c r="B41" s="238"/>
      <c r="C41" s="109"/>
      <c r="D41" s="239"/>
    </row>
    <row r="42" spans="2:4">
      <c r="B42" s="238" t="s">
        <v>273</v>
      </c>
      <c r="C42" s="108" t="s">
        <v>274</v>
      </c>
      <c r="D42" s="239"/>
    </row>
    <row r="43" spans="2:4">
      <c r="B43" s="238" t="s">
        <v>275</v>
      </c>
      <c r="C43" s="109" t="s">
        <v>276</v>
      </c>
      <c r="D43" s="239">
        <v>1915</v>
      </c>
    </row>
    <row r="44" spans="2:4">
      <c r="B44" s="238"/>
      <c r="C44" s="109"/>
      <c r="D44" s="239"/>
    </row>
    <row r="45" spans="2:4">
      <c r="B45" s="238" t="s">
        <v>277</v>
      </c>
      <c r="C45" s="108" t="s">
        <v>278</v>
      </c>
      <c r="D45" s="241" t="s">
        <v>1</v>
      </c>
    </row>
    <row r="46" spans="2:4">
      <c r="B46" s="238"/>
      <c r="C46" s="110" t="s">
        <v>279</v>
      </c>
      <c r="D46" s="243">
        <f>D10+D14+D18+D24+D32+D40</f>
        <v>2202.96</v>
      </c>
    </row>
    <row r="47" spans="2:4">
      <c r="B47" s="238"/>
      <c r="C47" s="110" t="s">
        <v>280</v>
      </c>
      <c r="D47" s="241">
        <f>D10+D14+D18+D24+D32+D40+D43</f>
        <v>4117.96</v>
      </c>
    </row>
    <row r="48" spans="2:4">
      <c r="B48" s="238"/>
      <c r="C48" s="108"/>
      <c r="D48" s="241"/>
    </row>
    <row r="49" spans="2:4">
      <c r="B49" s="238" t="s">
        <v>281</v>
      </c>
      <c r="C49" s="108" t="s">
        <v>282</v>
      </c>
      <c r="D49" s="241"/>
    </row>
    <row r="50" spans="2:4">
      <c r="B50" s="238"/>
      <c r="C50" s="110" t="s">
        <v>279</v>
      </c>
      <c r="D50" s="241">
        <f>D46/D21</f>
        <v>0.73</v>
      </c>
    </row>
    <row r="51" spans="2:4">
      <c r="B51" s="238"/>
      <c r="C51" s="110" t="s">
        <v>280</v>
      </c>
      <c r="D51" s="241">
        <f>D47/D21</f>
        <v>1.37</v>
      </c>
    </row>
    <row r="52" spans="2:4">
      <c r="B52" s="238"/>
      <c r="C52" s="108"/>
      <c r="D52" s="241"/>
    </row>
    <row r="53" spans="2:4">
      <c r="B53" s="244" t="s">
        <v>283</v>
      </c>
      <c r="C53" s="111" t="s">
        <v>284</v>
      </c>
      <c r="D53" s="245" t="s">
        <v>1</v>
      </c>
    </row>
    <row r="54" spans="2:4">
      <c r="B54" s="244" t="s">
        <v>285</v>
      </c>
      <c r="C54" s="112" t="s">
        <v>279</v>
      </c>
      <c r="D54" s="245">
        <f>D46*1.2</f>
        <v>2643.55</v>
      </c>
    </row>
    <row r="55" spans="2:4">
      <c r="B55" s="244" t="s">
        <v>286</v>
      </c>
      <c r="C55" s="112" t="s">
        <v>280</v>
      </c>
      <c r="D55" s="245">
        <f>D47*1.2</f>
        <v>4941.55</v>
      </c>
    </row>
    <row r="56" spans="2:4" ht="15.75" thickBot="1">
      <c r="B56" s="246"/>
      <c r="C56" s="247"/>
      <c r="D56" s="248"/>
    </row>
  </sheetData>
  <mergeCells count="1">
    <mergeCell ref="B2:D2"/>
  </mergeCells>
  <pageMargins left="0.51181102362204722" right="0.51181102362204722" top="0.59055118110236227" bottom="0.59055118110236227" header="0.31496062992125984" footer="0.31496062992125984"/>
  <pageSetup paperSize="9" scale="90" orientation="portrait" verticalDpi="599" r:id="rId1"/>
</worksheet>
</file>

<file path=xl/worksheets/sheet9.xml><?xml version="1.0" encoding="utf-8"?>
<worksheet xmlns="http://schemas.openxmlformats.org/spreadsheetml/2006/main" xmlns:r="http://schemas.openxmlformats.org/officeDocument/2006/relationships">
  <dimension ref="B1:T56"/>
  <sheetViews>
    <sheetView view="pageBreakPreview" zoomScale="90" zoomScaleNormal="100" zoomScaleSheetLayoutView="90" workbookViewId="0">
      <selection activeCell="B11" sqref="B11:H11"/>
    </sheetView>
  </sheetViews>
  <sheetFormatPr defaultColWidth="11.140625" defaultRowHeight="12.75"/>
  <cols>
    <col min="1" max="1" width="1.7109375" style="141" customWidth="1"/>
    <col min="2" max="2" width="7.7109375" style="158" customWidth="1"/>
    <col min="3" max="3" width="10.140625" style="159" customWidth="1"/>
    <col min="4" max="4" width="50.85546875" style="160" customWidth="1"/>
    <col min="5" max="5" width="7.42578125" style="158" customWidth="1"/>
    <col min="6" max="6" width="10.7109375" style="161" customWidth="1"/>
    <col min="7" max="7" width="14" style="161" customWidth="1"/>
    <col min="8" max="8" width="15.85546875" style="162" customWidth="1"/>
    <col min="9" max="9" width="2.42578125" style="472" customWidth="1"/>
    <col min="10" max="16384" width="11.140625" style="141"/>
  </cols>
  <sheetData>
    <row r="1" spans="2:18" ht="6.75" customHeight="1" thickBot="1">
      <c r="B1" s="141"/>
      <c r="C1" s="141"/>
      <c r="D1" s="141"/>
      <c r="E1" s="141"/>
      <c r="F1" s="141"/>
      <c r="G1" s="141"/>
      <c r="H1" s="141"/>
    </row>
    <row r="2" spans="2:18" ht="16.5" thickBot="1">
      <c r="B2" s="962" t="s">
        <v>578</v>
      </c>
      <c r="C2" s="963"/>
      <c r="D2" s="963"/>
      <c r="E2" s="963"/>
      <c r="F2" s="963"/>
      <c r="G2" s="963"/>
      <c r="H2" s="964"/>
    </row>
    <row r="3" spans="2:18">
      <c r="B3" s="644"/>
      <c r="C3" s="645"/>
      <c r="D3" s="645"/>
      <c r="E3" s="645"/>
      <c r="F3" s="645"/>
      <c r="G3" s="645"/>
      <c r="H3" s="646"/>
    </row>
    <row r="4" spans="2:18">
      <c r="B4" s="647"/>
      <c r="C4" s="648"/>
      <c r="D4" s="648"/>
      <c r="E4" s="648"/>
      <c r="F4" s="648"/>
      <c r="G4" s="648"/>
      <c r="H4" s="649"/>
    </row>
    <row r="5" spans="2:18">
      <c r="B5" s="647"/>
      <c r="C5" s="648"/>
      <c r="D5" s="648"/>
      <c r="E5" s="648"/>
      <c r="F5" s="648"/>
      <c r="G5" s="648"/>
      <c r="H5" s="649"/>
    </row>
    <row r="6" spans="2:18" ht="13.5" thickBot="1">
      <c r="B6" s="650"/>
      <c r="C6" s="651"/>
      <c r="D6" s="651"/>
      <c r="E6" s="651"/>
      <c r="F6" s="651"/>
      <c r="G6" s="651"/>
      <c r="H6" s="652"/>
    </row>
    <row r="7" spans="2:18" ht="36.75" customHeight="1">
      <c r="B7" s="965" t="s">
        <v>703</v>
      </c>
      <c r="C7" s="966"/>
      <c r="D7" s="966"/>
      <c r="E7" s="966"/>
      <c r="F7" s="966"/>
      <c r="G7" s="966"/>
      <c r="H7" s="967"/>
    </row>
    <row r="8" spans="2:18" ht="15.75">
      <c r="B8" s="636" t="s">
        <v>715</v>
      </c>
      <c r="C8" s="637"/>
      <c r="D8" s="637"/>
      <c r="E8" s="637"/>
      <c r="F8" s="637"/>
      <c r="G8" s="637"/>
      <c r="H8" s="638"/>
    </row>
    <row r="9" spans="2:18" ht="16.5" thickBot="1">
      <c r="B9" s="669" t="s">
        <v>122</v>
      </c>
      <c r="C9" s="670"/>
      <c r="D9" s="670"/>
      <c r="E9" s="670"/>
      <c r="F9" s="670"/>
      <c r="G9" s="670"/>
      <c r="H9" s="671"/>
    </row>
    <row r="10" spans="2:18" ht="19.5" thickBot="1">
      <c r="B10" s="658" t="s">
        <v>123</v>
      </c>
      <c r="C10" s="659"/>
      <c r="D10" s="659"/>
      <c r="E10" s="659"/>
      <c r="F10" s="659"/>
      <c r="G10" s="660"/>
      <c r="H10" s="408"/>
      <c r="J10" s="142"/>
    </row>
    <row r="11" spans="2:18" ht="15.75">
      <c r="B11" s="672"/>
      <c r="C11" s="673"/>
      <c r="D11" s="673"/>
      <c r="E11" s="673"/>
      <c r="F11" s="673"/>
      <c r="G11" s="673"/>
      <c r="H11" s="674"/>
    </row>
    <row r="12" spans="2:18" ht="15.75">
      <c r="B12" s="653" t="s">
        <v>124</v>
      </c>
      <c r="C12" s="640" t="s">
        <v>125</v>
      </c>
      <c r="D12" s="656" t="s">
        <v>126</v>
      </c>
      <c r="E12" s="639" t="s">
        <v>117</v>
      </c>
      <c r="F12" s="665" t="s">
        <v>48</v>
      </c>
      <c r="G12" s="667" t="s">
        <v>127</v>
      </c>
      <c r="H12" s="668"/>
    </row>
    <row r="13" spans="2:18" ht="16.5" thickBot="1">
      <c r="B13" s="654"/>
      <c r="C13" s="655"/>
      <c r="D13" s="657"/>
      <c r="E13" s="640"/>
      <c r="F13" s="666"/>
      <c r="G13" s="418" t="s">
        <v>128</v>
      </c>
      <c r="H13" s="419" t="s">
        <v>118</v>
      </c>
    </row>
    <row r="14" spans="2:18" ht="16.5" thickBot="1">
      <c r="B14" s="421" t="s">
        <v>129</v>
      </c>
      <c r="C14" s="641" t="s">
        <v>130</v>
      </c>
      <c r="D14" s="642"/>
      <c r="E14" s="642"/>
      <c r="F14" s="642"/>
      <c r="G14" s="643"/>
      <c r="H14" s="476"/>
      <c r="N14" s="143"/>
      <c r="O14" s="661"/>
      <c r="P14" s="661"/>
      <c r="Q14" s="661"/>
      <c r="R14" s="661"/>
    </row>
    <row r="15" spans="2:18" ht="30">
      <c r="B15" s="249" t="s">
        <v>12</v>
      </c>
      <c r="C15" s="250" t="s">
        <v>44</v>
      </c>
      <c r="D15" s="420" t="s">
        <v>556</v>
      </c>
      <c r="E15" s="252" t="s">
        <v>59</v>
      </c>
      <c r="F15" s="253">
        <v>1</v>
      </c>
      <c r="G15" s="253"/>
      <c r="H15" s="254"/>
    </row>
    <row r="16" spans="2:18" ht="45">
      <c r="B16" s="144" t="s">
        <v>14</v>
      </c>
      <c r="C16" s="145" t="s">
        <v>65</v>
      </c>
      <c r="D16" s="149" t="s">
        <v>666</v>
      </c>
      <c r="E16" s="150" t="s">
        <v>80</v>
      </c>
      <c r="F16" s="147">
        <f>3*2</f>
        <v>6</v>
      </c>
      <c r="G16" s="147"/>
      <c r="H16" s="148"/>
    </row>
    <row r="17" spans="2:18" ht="30">
      <c r="B17" s="144" t="s">
        <v>16</v>
      </c>
      <c r="C17" s="145" t="s">
        <v>78</v>
      </c>
      <c r="D17" s="149" t="s">
        <v>557</v>
      </c>
      <c r="E17" s="151" t="s">
        <v>59</v>
      </c>
      <c r="F17" s="147">
        <v>1</v>
      </c>
      <c r="G17" s="147"/>
      <c r="H17" s="148"/>
    </row>
    <row r="18" spans="2:18" ht="45">
      <c r="B18" s="144" t="s">
        <v>132</v>
      </c>
      <c r="C18" s="145" t="s">
        <v>79</v>
      </c>
      <c r="D18" s="149" t="s">
        <v>558</v>
      </c>
      <c r="E18" s="151" t="s">
        <v>59</v>
      </c>
      <c r="F18" s="147">
        <v>1</v>
      </c>
      <c r="G18" s="147"/>
      <c r="H18" s="148"/>
    </row>
    <row r="19" spans="2:18" ht="45.75" thickBot="1">
      <c r="B19" s="411" t="s">
        <v>298</v>
      </c>
      <c r="C19" s="351" t="s">
        <v>105</v>
      </c>
      <c r="D19" s="412" t="s">
        <v>559</v>
      </c>
      <c r="E19" s="353" t="s">
        <v>630</v>
      </c>
      <c r="F19" s="339">
        <v>3</v>
      </c>
      <c r="G19" s="339"/>
      <c r="H19" s="415"/>
    </row>
    <row r="20" spans="2:18" ht="16.5" thickBot="1">
      <c r="B20" s="678" t="s">
        <v>213</v>
      </c>
      <c r="C20" s="679"/>
      <c r="D20" s="679"/>
      <c r="E20" s="679"/>
      <c r="F20" s="679"/>
      <c r="G20" s="679"/>
      <c r="H20" s="477"/>
    </row>
    <row r="21" spans="2:18" ht="16.5" thickBot="1">
      <c r="B21" s="410" t="s">
        <v>133</v>
      </c>
      <c r="C21" s="662" t="s">
        <v>300</v>
      </c>
      <c r="D21" s="663"/>
      <c r="E21" s="663"/>
      <c r="F21" s="663"/>
      <c r="G21" s="664"/>
      <c r="H21" s="478"/>
    </row>
    <row r="22" spans="2:18" ht="30">
      <c r="B22" s="249" t="s">
        <v>631</v>
      </c>
      <c r="C22" s="250" t="s">
        <v>326</v>
      </c>
      <c r="D22" s="251" t="s">
        <v>629</v>
      </c>
      <c r="E22" s="252" t="s">
        <v>80</v>
      </c>
      <c r="F22" s="253">
        <f>'Mem. Cálc.'!J9</f>
        <v>1634.47</v>
      </c>
      <c r="G22" s="253"/>
      <c r="H22" s="254"/>
      <c r="K22" s="141" t="s">
        <v>580</v>
      </c>
    </row>
    <row r="23" spans="2:18" ht="15">
      <c r="B23" s="249" t="s">
        <v>632</v>
      </c>
      <c r="C23" s="250" t="s">
        <v>740</v>
      </c>
      <c r="D23" s="251" t="s">
        <v>737</v>
      </c>
      <c r="E23" s="252" t="s">
        <v>80</v>
      </c>
      <c r="F23" s="253">
        <f>'Mem. Cálc.'!J9</f>
        <v>1634.47</v>
      </c>
      <c r="G23" s="253"/>
      <c r="H23" s="254"/>
    </row>
    <row r="24" spans="2:18" ht="30">
      <c r="B24" s="249" t="s">
        <v>633</v>
      </c>
      <c r="C24" s="250" t="s">
        <v>717</v>
      </c>
      <c r="D24" s="251" t="s">
        <v>718</v>
      </c>
      <c r="E24" s="252" t="s">
        <v>87</v>
      </c>
      <c r="F24" s="253">
        <f>'Mem. Cálc.'!J21</f>
        <v>817.24</v>
      </c>
      <c r="G24" s="253"/>
      <c r="H24" s="254"/>
    </row>
    <row r="25" spans="2:18" ht="45">
      <c r="B25" s="249" t="s">
        <v>634</v>
      </c>
      <c r="C25" s="250" t="s">
        <v>294</v>
      </c>
      <c r="D25" s="251" t="s">
        <v>565</v>
      </c>
      <c r="E25" s="252" t="s">
        <v>80</v>
      </c>
      <c r="F25" s="253">
        <f>F22</f>
        <v>1634.47</v>
      </c>
      <c r="G25" s="253"/>
      <c r="H25" s="254"/>
      <c r="K25" s="141" t="s">
        <v>582</v>
      </c>
    </row>
    <row r="26" spans="2:18" ht="30">
      <c r="B26" s="249" t="s">
        <v>635</v>
      </c>
      <c r="C26" s="250" t="s">
        <v>327</v>
      </c>
      <c r="D26" s="251" t="s">
        <v>628</v>
      </c>
      <c r="E26" s="252" t="s">
        <v>87</v>
      </c>
      <c r="F26" s="253">
        <f>'Mem. Cálc.'!J17</f>
        <v>44.42</v>
      </c>
      <c r="G26" s="253"/>
      <c r="H26" s="254"/>
      <c r="K26" s="141" t="s">
        <v>581</v>
      </c>
      <c r="L26" s="153"/>
      <c r="N26" s="154"/>
      <c r="O26" s="154"/>
      <c r="P26" s="154"/>
      <c r="Q26" s="154"/>
      <c r="R26" s="154"/>
    </row>
    <row r="27" spans="2:18" ht="18.75">
      <c r="B27" s="249" t="s">
        <v>636</v>
      </c>
      <c r="C27" s="145" t="s">
        <v>431</v>
      </c>
      <c r="D27" s="152" t="s">
        <v>560</v>
      </c>
      <c r="E27" s="151" t="s">
        <v>87</v>
      </c>
      <c r="F27" s="253">
        <f>'Mem. Cálc.'!J25</f>
        <v>13.03</v>
      </c>
      <c r="G27" s="147"/>
      <c r="H27" s="148"/>
      <c r="K27" s="682" t="s">
        <v>584</v>
      </c>
      <c r="L27" s="682"/>
      <c r="M27" s="682"/>
      <c r="N27" s="682"/>
      <c r="O27" s="682"/>
      <c r="P27" s="154"/>
      <c r="Q27" s="154"/>
      <c r="R27" s="154"/>
    </row>
    <row r="28" spans="2:18" ht="60">
      <c r="B28" s="249" t="s">
        <v>637</v>
      </c>
      <c r="C28" s="145" t="s">
        <v>371</v>
      </c>
      <c r="D28" s="152" t="s">
        <v>667</v>
      </c>
      <c r="E28" s="151" t="s">
        <v>80</v>
      </c>
      <c r="F28" s="253">
        <f>'Mem. Cálc.'!J33</f>
        <v>158.07</v>
      </c>
      <c r="G28" s="147"/>
      <c r="H28" s="148"/>
      <c r="K28" s="680" t="s">
        <v>585</v>
      </c>
      <c r="L28" s="680"/>
      <c r="M28" s="680"/>
      <c r="N28" s="338"/>
      <c r="O28" s="338"/>
      <c r="P28" s="154"/>
      <c r="Q28" s="154"/>
      <c r="R28" s="155"/>
    </row>
    <row r="29" spans="2:18" ht="45">
      <c r="B29" s="249" t="s">
        <v>638</v>
      </c>
      <c r="C29" s="145" t="s">
        <v>377</v>
      </c>
      <c r="D29" s="152" t="s">
        <v>561</v>
      </c>
      <c r="E29" s="151" t="s">
        <v>80</v>
      </c>
      <c r="F29" s="253">
        <f>'Mem. Cálc.'!J46</f>
        <v>567.53</v>
      </c>
      <c r="G29" s="147"/>
      <c r="H29" s="148"/>
      <c r="K29" s="682" t="s">
        <v>586</v>
      </c>
      <c r="L29" s="682"/>
      <c r="M29" s="682"/>
      <c r="N29" s="682"/>
      <c r="O29" s="682"/>
      <c r="P29" s="154"/>
      <c r="Q29" s="154"/>
      <c r="R29" s="155"/>
    </row>
    <row r="30" spans="2:18" ht="60">
      <c r="B30" s="249" t="s">
        <v>639</v>
      </c>
      <c r="C30" s="156" t="s">
        <v>378</v>
      </c>
      <c r="D30" s="146" t="s">
        <v>566</v>
      </c>
      <c r="E30" s="151" t="s">
        <v>80</v>
      </c>
      <c r="F30" s="253">
        <f>'Mem. Cálc.'!J54</f>
        <v>344.58</v>
      </c>
      <c r="G30" s="147"/>
      <c r="H30" s="148"/>
      <c r="K30" s="683"/>
      <c r="L30" s="683"/>
      <c r="M30" s="683"/>
      <c r="N30" s="683"/>
      <c r="O30" s="683"/>
      <c r="P30" s="154"/>
      <c r="Q30" s="154"/>
      <c r="R30" s="154"/>
    </row>
    <row r="31" spans="2:18" ht="60">
      <c r="B31" s="249" t="s">
        <v>640</v>
      </c>
      <c r="C31" s="145" t="s">
        <v>384</v>
      </c>
      <c r="D31" s="152" t="s">
        <v>567</v>
      </c>
      <c r="E31" s="151" t="s">
        <v>87</v>
      </c>
      <c r="F31" s="253">
        <f>'Mem. Cálc.'!J57</f>
        <v>46.2</v>
      </c>
      <c r="G31" s="157"/>
      <c r="H31" s="148"/>
      <c r="K31" s="338"/>
      <c r="L31" s="338"/>
      <c r="M31" s="338"/>
      <c r="N31" s="338"/>
      <c r="O31" s="338"/>
      <c r="P31" s="154"/>
      <c r="Q31" s="154"/>
      <c r="R31" s="154"/>
    </row>
    <row r="32" spans="2:18" ht="45">
      <c r="B32" s="249" t="s">
        <v>641</v>
      </c>
      <c r="C32" s="145" t="s">
        <v>178</v>
      </c>
      <c r="D32" s="152" t="s">
        <v>568</v>
      </c>
      <c r="E32" s="151" t="str">
        <f>E31</f>
        <v>m³</v>
      </c>
      <c r="F32" s="253">
        <f>'Mem. Cálc.'!J65</f>
        <v>6.14</v>
      </c>
      <c r="G32" s="147"/>
      <c r="H32" s="148"/>
      <c r="K32" s="338"/>
      <c r="L32" s="338"/>
      <c r="M32" s="338"/>
      <c r="N32" s="338"/>
      <c r="O32" s="338"/>
      <c r="P32" s="154"/>
      <c r="Q32" s="154"/>
      <c r="R32" s="154"/>
    </row>
    <row r="33" spans="2:20" ht="90">
      <c r="B33" s="249" t="s">
        <v>642</v>
      </c>
      <c r="C33" s="145" t="s">
        <v>434</v>
      </c>
      <c r="D33" s="335" t="s">
        <v>627</v>
      </c>
      <c r="E33" s="151" t="s">
        <v>80</v>
      </c>
      <c r="F33" s="253">
        <f>'Mem. Cálc.'!J69</f>
        <v>924</v>
      </c>
      <c r="G33" s="147"/>
      <c r="H33" s="336"/>
      <c r="K33" s="635"/>
      <c r="L33" s="635"/>
      <c r="M33" s="635"/>
      <c r="N33" s="635"/>
      <c r="O33" s="635"/>
      <c r="P33" s="154"/>
      <c r="Q33" s="154"/>
      <c r="R33" s="154"/>
    </row>
    <row r="34" spans="2:20" ht="60">
      <c r="B34" s="249" t="s">
        <v>643</v>
      </c>
      <c r="C34" s="145" t="s">
        <v>501</v>
      </c>
      <c r="D34" s="335" t="s">
        <v>626</v>
      </c>
      <c r="E34" s="151" t="s">
        <v>80</v>
      </c>
      <c r="F34" s="253">
        <f>'Mem. Cálc.'!J73</f>
        <v>924</v>
      </c>
      <c r="G34" s="147"/>
      <c r="H34" s="336"/>
      <c r="K34" s="635"/>
      <c r="L34" s="635"/>
      <c r="M34" s="635"/>
      <c r="N34" s="635"/>
      <c r="O34" s="635"/>
      <c r="P34" s="154"/>
      <c r="Q34" s="154"/>
      <c r="R34" s="154"/>
    </row>
    <row r="35" spans="2:20" ht="45">
      <c r="B35" s="249" t="s">
        <v>644</v>
      </c>
      <c r="C35" s="145" t="s">
        <v>435</v>
      </c>
      <c r="D35" s="335" t="s">
        <v>562</v>
      </c>
      <c r="E35" s="151" t="s">
        <v>87</v>
      </c>
      <c r="F35" s="253">
        <f>'Mem. Cálc.'!J83</f>
        <v>25.25</v>
      </c>
      <c r="G35" s="147"/>
      <c r="H35" s="336"/>
      <c r="K35" s="338"/>
      <c r="L35" s="338"/>
      <c r="M35" s="338"/>
      <c r="N35" s="338"/>
      <c r="O35" s="338"/>
      <c r="P35" s="154"/>
      <c r="Q35" s="681" t="s">
        <v>214</v>
      </c>
      <c r="R35" s="681"/>
      <c r="S35" s="681"/>
      <c r="T35" s="681"/>
    </row>
    <row r="36" spans="2:20" ht="45">
      <c r="B36" s="249" t="s">
        <v>645</v>
      </c>
      <c r="C36" s="145" t="s">
        <v>446</v>
      </c>
      <c r="D36" s="335" t="s">
        <v>625</v>
      </c>
      <c r="E36" s="151" t="s">
        <v>87</v>
      </c>
      <c r="F36" s="253">
        <f>'Mem. Cálc.'!J86</f>
        <v>19.3</v>
      </c>
      <c r="G36" s="157"/>
      <c r="H36" s="148"/>
      <c r="K36" s="338"/>
      <c r="L36" s="338"/>
      <c r="M36" s="338"/>
      <c r="N36" s="338"/>
      <c r="O36" s="338"/>
      <c r="P36" s="154"/>
      <c r="Q36" s="154"/>
      <c r="R36" s="154"/>
    </row>
    <row r="37" spans="2:20" ht="120">
      <c r="B37" s="249" t="s">
        <v>646</v>
      </c>
      <c r="C37" s="145" t="s">
        <v>385</v>
      </c>
      <c r="D37" s="152" t="s">
        <v>624</v>
      </c>
      <c r="E37" s="151" t="s">
        <v>80</v>
      </c>
      <c r="F37" s="253">
        <f>'Mem. Cálc.'!J89</f>
        <v>33</v>
      </c>
      <c r="G37" s="157"/>
      <c r="H37" s="148"/>
      <c r="K37" s="338"/>
      <c r="L37" s="338"/>
      <c r="M37" s="338"/>
      <c r="N37" s="338"/>
      <c r="O37" s="338"/>
      <c r="P37" s="154"/>
      <c r="Q37" s="154"/>
      <c r="R37" s="154"/>
    </row>
    <row r="38" spans="2:20" ht="45">
      <c r="B38" s="249" t="s">
        <v>647</v>
      </c>
      <c r="C38" s="145" t="s">
        <v>401</v>
      </c>
      <c r="D38" s="152" t="s">
        <v>572</v>
      </c>
      <c r="E38" s="151" t="s">
        <v>80</v>
      </c>
      <c r="F38" s="253">
        <f>'Mem. Cálc.'!J97</f>
        <v>331.08</v>
      </c>
      <c r="G38" s="157"/>
      <c r="H38" s="148"/>
      <c r="K38" s="338"/>
      <c r="L38" s="338"/>
      <c r="M38" s="338"/>
      <c r="N38" s="338"/>
      <c r="O38" s="338"/>
      <c r="P38" s="154"/>
      <c r="Q38" s="154"/>
      <c r="R38" s="154"/>
    </row>
    <row r="39" spans="2:20" ht="30">
      <c r="B39" s="249" t="s">
        <v>727</v>
      </c>
      <c r="C39" s="145" t="s">
        <v>534</v>
      </c>
      <c r="D39" s="152" t="s">
        <v>573</v>
      </c>
      <c r="E39" s="151" t="s">
        <v>80</v>
      </c>
      <c r="F39" s="409">
        <f>'Mem. Cálc.'!J102</f>
        <v>5.28</v>
      </c>
      <c r="G39" s="340"/>
      <c r="H39" s="148"/>
      <c r="K39" s="338"/>
      <c r="L39" s="338"/>
      <c r="M39" s="338"/>
      <c r="N39" s="338"/>
      <c r="O39" s="338"/>
      <c r="P39" s="154"/>
      <c r="Q39" s="154"/>
      <c r="R39" s="154"/>
    </row>
    <row r="40" spans="2:20" ht="60.75" thickBot="1">
      <c r="B40" s="249" t="s">
        <v>736</v>
      </c>
      <c r="C40" s="351" t="s">
        <v>405</v>
      </c>
      <c r="D40" s="352" t="s">
        <v>574</v>
      </c>
      <c r="E40" s="353" t="s">
        <v>71</v>
      </c>
      <c r="F40" s="354">
        <f>'Mem. Cálc.'!J108</f>
        <v>376.48</v>
      </c>
      <c r="G40" s="340"/>
      <c r="H40" s="415"/>
      <c r="N40" s="154"/>
      <c r="O40" s="154"/>
      <c r="P40" s="154"/>
      <c r="Q40" s="154"/>
      <c r="R40" s="154"/>
    </row>
    <row r="41" spans="2:20" ht="19.5" thickBot="1">
      <c r="B41" s="416" t="s">
        <v>463</v>
      </c>
      <c r="C41" s="675" t="s">
        <v>569</v>
      </c>
      <c r="D41" s="676"/>
      <c r="E41" s="676"/>
      <c r="F41" s="676"/>
      <c r="G41" s="677"/>
      <c r="H41" s="417"/>
      <c r="N41" s="154"/>
      <c r="O41" s="154"/>
      <c r="P41" s="154"/>
      <c r="Q41" s="154"/>
      <c r="R41" s="154"/>
    </row>
    <row r="42" spans="2:20" ht="75">
      <c r="B42" s="249" t="s">
        <v>18</v>
      </c>
      <c r="C42" s="250" t="s">
        <v>406</v>
      </c>
      <c r="D42" s="251" t="s">
        <v>623</v>
      </c>
      <c r="E42" s="252" t="s">
        <v>80</v>
      </c>
      <c r="F42" s="253">
        <f>'Mem. Cálc.'!J114</f>
        <v>262.32</v>
      </c>
      <c r="G42" s="355"/>
      <c r="H42" s="254"/>
      <c r="N42" s="154"/>
      <c r="O42" s="154"/>
      <c r="P42" s="154"/>
      <c r="Q42" s="154"/>
      <c r="R42" s="154"/>
    </row>
    <row r="43" spans="2:20" ht="45">
      <c r="B43" s="249" t="s">
        <v>20</v>
      </c>
      <c r="C43" s="145" t="s">
        <v>421</v>
      </c>
      <c r="D43" s="152" t="s">
        <v>563</v>
      </c>
      <c r="E43" s="151" t="s">
        <v>71</v>
      </c>
      <c r="F43" s="253">
        <f>'Mem. Cálc.'!F117</f>
        <v>32.58</v>
      </c>
      <c r="G43" s="157"/>
      <c r="H43" s="148"/>
      <c r="N43" s="154"/>
      <c r="O43" s="154"/>
      <c r="P43" s="154"/>
      <c r="Q43" s="154"/>
      <c r="R43" s="154"/>
    </row>
    <row r="44" spans="2:20" ht="60">
      <c r="B44" s="249" t="s">
        <v>22</v>
      </c>
      <c r="C44" s="145" t="s">
        <v>422</v>
      </c>
      <c r="D44" s="152" t="s">
        <v>575</v>
      </c>
      <c r="E44" s="151" t="s">
        <v>80</v>
      </c>
      <c r="F44" s="253">
        <f>'Mem. Cálc.'!F120</f>
        <v>16.29</v>
      </c>
      <c r="G44" s="157"/>
      <c r="H44" s="148"/>
      <c r="N44" s="154"/>
      <c r="O44" s="154"/>
      <c r="P44" s="154"/>
      <c r="Q44" s="154"/>
      <c r="R44" s="154"/>
    </row>
    <row r="45" spans="2:20" ht="75">
      <c r="B45" s="249" t="s">
        <v>24</v>
      </c>
      <c r="C45" s="145" t="s">
        <v>459</v>
      </c>
      <c r="D45" s="152" t="s">
        <v>622</v>
      </c>
      <c r="E45" s="151" t="s">
        <v>615</v>
      </c>
      <c r="F45" s="147">
        <v>1</v>
      </c>
      <c r="G45" s="157"/>
      <c r="H45" s="148"/>
      <c r="N45" s="154"/>
      <c r="O45" s="154"/>
      <c r="P45" s="154"/>
      <c r="Q45" s="154"/>
      <c r="R45" s="154"/>
    </row>
    <row r="46" spans="2:20" ht="75">
      <c r="B46" s="249" t="s">
        <v>464</v>
      </c>
      <c r="C46" s="145" t="s">
        <v>460</v>
      </c>
      <c r="D46" s="152" t="s">
        <v>576</v>
      </c>
      <c r="E46" s="151" t="s">
        <v>615</v>
      </c>
      <c r="F46" s="147">
        <v>1</v>
      </c>
      <c r="G46" s="157"/>
      <c r="H46" s="148"/>
      <c r="N46" s="154"/>
      <c r="O46" s="154"/>
      <c r="P46" s="154"/>
      <c r="Q46" s="154"/>
      <c r="R46" s="154"/>
    </row>
    <row r="47" spans="2:20" ht="60.75" thickBot="1">
      <c r="B47" s="249" t="s">
        <v>465</v>
      </c>
      <c r="C47" s="351" t="s">
        <v>459</v>
      </c>
      <c r="D47" s="414" t="s">
        <v>668</v>
      </c>
      <c r="E47" s="353" t="s">
        <v>615</v>
      </c>
      <c r="F47" s="339">
        <v>1</v>
      </c>
      <c r="G47" s="340"/>
      <c r="H47" s="415"/>
      <c r="N47" s="154"/>
      <c r="O47" s="154"/>
      <c r="P47" s="154"/>
      <c r="Q47" s="154"/>
      <c r="R47" s="154"/>
    </row>
    <row r="48" spans="2:20" ht="19.5" thickBot="1">
      <c r="B48" s="416" t="s">
        <v>466</v>
      </c>
      <c r="C48" s="675" t="s">
        <v>570</v>
      </c>
      <c r="D48" s="676"/>
      <c r="E48" s="676"/>
      <c r="F48" s="676"/>
      <c r="G48" s="677"/>
      <c r="H48" s="417"/>
      <c r="N48" s="154"/>
      <c r="O48" s="154"/>
      <c r="P48" s="154"/>
      <c r="Q48" s="154"/>
      <c r="R48" s="154"/>
    </row>
    <row r="49" spans="2:18" ht="45">
      <c r="B49" s="619" t="s">
        <v>469</v>
      </c>
      <c r="C49" s="620" t="s">
        <v>487</v>
      </c>
      <c r="D49" s="621" t="s">
        <v>577</v>
      </c>
      <c r="E49" s="622" t="s">
        <v>59</v>
      </c>
      <c r="F49" s="623">
        <f>8</f>
        <v>8</v>
      </c>
      <c r="G49" s="340"/>
      <c r="H49" s="624"/>
      <c r="N49" s="154"/>
      <c r="O49" s="154"/>
      <c r="P49" s="154"/>
      <c r="Q49" s="154"/>
      <c r="R49" s="154"/>
    </row>
    <row r="50" spans="2:18" ht="30">
      <c r="B50" s="633" t="s">
        <v>470</v>
      </c>
      <c r="C50" s="630" t="s">
        <v>477</v>
      </c>
      <c r="D50" s="631" t="s">
        <v>564</v>
      </c>
      <c r="E50" s="473" t="s">
        <v>71</v>
      </c>
      <c r="F50" s="474">
        <f>200</f>
        <v>200</v>
      </c>
      <c r="G50" s="632"/>
      <c r="H50" s="634"/>
      <c r="N50" s="154"/>
      <c r="O50" s="154"/>
      <c r="P50" s="154"/>
      <c r="Q50" s="154"/>
      <c r="R50" s="154"/>
    </row>
    <row r="51" spans="2:18" ht="30">
      <c r="B51" s="633" t="s">
        <v>471</v>
      </c>
      <c r="C51" s="630" t="s">
        <v>551</v>
      </c>
      <c r="D51" s="631" t="s">
        <v>571</v>
      </c>
      <c r="E51" s="473" t="s">
        <v>71</v>
      </c>
      <c r="F51" s="474">
        <f>120</f>
        <v>120</v>
      </c>
      <c r="G51" s="632"/>
      <c r="H51" s="634"/>
      <c r="N51" s="154"/>
      <c r="O51" s="154"/>
      <c r="P51" s="154"/>
      <c r="Q51" s="154"/>
      <c r="R51" s="154"/>
    </row>
    <row r="52" spans="2:18" ht="45">
      <c r="B52" s="633" t="s">
        <v>472</v>
      </c>
      <c r="C52" s="630" t="s">
        <v>555</v>
      </c>
      <c r="D52" s="631" t="s">
        <v>618</v>
      </c>
      <c r="E52" s="473" t="s">
        <v>59</v>
      </c>
      <c r="F52" s="474">
        <f>2</f>
        <v>2</v>
      </c>
      <c r="G52" s="632"/>
      <c r="H52" s="634"/>
      <c r="N52" s="154"/>
      <c r="O52" s="154"/>
      <c r="P52" s="154"/>
      <c r="Q52" s="154"/>
      <c r="R52" s="154"/>
    </row>
    <row r="53" spans="2:18" ht="75">
      <c r="B53" s="633" t="s">
        <v>473</v>
      </c>
      <c r="C53" s="630" t="s">
        <v>479</v>
      </c>
      <c r="D53" s="631" t="s">
        <v>621</v>
      </c>
      <c r="E53" s="473" t="s">
        <v>59</v>
      </c>
      <c r="F53" s="474">
        <f>1</f>
        <v>1</v>
      </c>
      <c r="G53" s="632"/>
      <c r="H53" s="634"/>
      <c r="N53" s="154"/>
      <c r="O53" s="154"/>
      <c r="P53" s="154"/>
      <c r="Q53" s="154"/>
      <c r="R53" s="154"/>
    </row>
    <row r="54" spans="2:18" ht="45">
      <c r="B54" s="633" t="s">
        <v>550</v>
      </c>
      <c r="C54" s="630" t="s">
        <v>482</v>
      </c>
      <c r="D54" s="631" t="s">
        <v>619</v>
      </c>
      <c r="E54" s="475" t="s">
        <v>59</v>
      </c>
      <c r="F54" s="474">
        <f>4</f>
        <v>4</v>
      </c>
      <c r="G54" s="632"/>
      <c r="H54" s="634"/>
      <c r="N54" s="154"/>
      <c r="O54" s="154"/>
      <c r="P54" s="154"/>
      <c r="Q54" s="154"/>
      <c r="R54" s="154"/>
    </row>
    <row r="55" spans="2:18" ht="45">
      <c r="B55" s="633" t="s">
        <v>554</v>
      </c>
      <c r="C55" s="630" t="s">
        <v>518</v>
      </c>
      <c r="D55" s="631" t="s">
        <v>620</v>
      </c>
      <c r="E55" s="475" t="s">
        <v>59</v>
      </c>
      <c r="F55" s="474">
        <v>5</v>
      </c>
      <c r="G55" s="632"/>
      <c r="H55" s="634"/>
      <c r="N55" s="154"/>
      <c r="O55" s="154"/>
      <c r="P55" s="154"/>
      <c r="Q55" s="154"/>
      <c r="R55" s="154"/>
    </row>
    <row r="56" spans="2:18" ht="60.75" thickBot="1">
      <c r="B56" s="413" t="s">
        <v>732</v>
      </c>
      <c r="C56" s="625" t="s">
        <v>459</v>
      </c>
      <c r="D56" s="603" t="s">
        <v>749</v>
      </c>
      <c r="E56" s="626" t="s">
        <v>59</v>
      </c>
      <c r="F56" s="627">
        <v>1</v>
      </c>
      <c r="G56" s="628"/>
      <c r="H56" s="629"/>
      <c r="N56" s="154"/>
      <c r="O56" s="154"/>
      <c r="P56" s="154"/>
      <c r="Q56" s="154"/>
      <c r="R56" s="154"/>
    </row>
  </sheetData>
  <sheetProtection selectLockedCells="1" selectUnlockedCells="1"/>
  <mergeCells count="24">
    <mergeCell ref="K29:O29"/>
    <mergeCell ref="K30:O30"/>
    <mergeCell ref="Q35:T35"/>
    <mergeCell ref="C41:G41"/>
    <mergeCell ref="C48:G48"/>
    <mergeCell ref="B2:H2"/>
    <mergeCell ref="C14:G14"/>
    <mergeCell ref="O14:R14"/>
    <mergeCell ref="B20:G20"/>
    <mergeCell ref="C21:G21"/>
    <mergeCell ref="K27:O27"/>
    <mergeCell ref="K28:M28"/>
    <mergeCell ref="B12:B13"/>
    <mergeCell ref="C12:C13"/>
    <mergeCell ref="D12:D13"/>
    <mergeCell ref="E12:E13"/>
    <mergeCell ref="F12:F13"/>
    <mergeCell ref="G12:H12"/>
    <mergeCell ref="B3:H6"/>
    <mergeCell ref="B7:H7"/>
    <mergeCell ref="B8:H8"/>
    <mergeCell ref="B9:H9"/>
    <mergeCell ref="B10:G10"/>
    <mergeCell ref="B11:H11"/>
  </mergeCells>
  <pageMargins left="0.39370078740157483" right="0.39370078740157483" top="0.39370078740157483" bottom="0.78740157480314965" header="0.51181102362204722" footer="0.51181102362204722"/>
  <pageSetup paperSize="9" scale="80" firstPageNumber="0" fitToWidth="0" fitToHeight="0" orientation="portrait" r:id="rId1"/>
  <headerFooter alignWithMargins="0">
    <oddFooter>&amp;CPágina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18</vt:i4>
      </vt:variant>
    </vt:vector>
  </HeadingPairs>
  <TitlesOfParts>
    <vt:vector size="27" baseType="lpstr">
      <vt:lpstr>Serviços</vt:lpstr>
      <vt:lpstr>CPU</vt:lpstr>
      <vt:lpstr>Insumos</vt:lpstr>
      <vt:lpstr>BDI</vt:lpstr>
      <vt:lpstr>Mem. Cálc.</vt:lpstr>
      <vt:lpstr>Horista</vt:lpstr>
      <vt:lpstr>Mensalista</vt:lpstr>
      <vt:lpstr>Veiculo</vt:lpstr>
      <vt:lpstr>PO-I</vt:lpstr>
      <vt:lpstr>CPU!Area_de_impressao</vt:lpstr>
      <vt:lpstr>Insumos!Area_de_impressao</vt:lpstr>
      <vt:lpstr>'Mem. Cálc.'!Area_de_impressao</vt:lpstr>
      <vt:lpstr>'PO-I'!Area_de_impressao</vt:lpstr>
      <vt:lpstr>Serviços!Area_de_impressao</vt:lpstr>
      <vt:lpstr>Veiculo!Area_de_impressao</vt:lpstr>
      <vt:lpstr>BDI</vt:lpstr>
      <vt:lpstr>bet</vt:lpstr>
      <vt:lpstr>enc</vt:lpstr>
      <vt:lpstr>'PO-I'!Excel_BuiltIn__FilterDatabase_4</vt:lpstr>
      <vt:lpstr>Excel_BuiltIn__FilterDatabase_4</vt:lpstr>
      <vt:lpstr>s14_</vt:lpstr>
      <vt:lpstr>SAL</vt:lpstr>
      <vt:lpstr>CPU!Titulos_de_impressao</vt:lpstr>
      <vt:lpstr>Insumos!Titulos_de_impressao</vt:lpstr>
      <vt:lpstr>'Mem. Cálc.'!Titulos_de_impressao</vt:lpstr>
      <vt:lpstr>'PO-I'!Titulos_de_impressao</vt:lpstr>
      <vt:lpstr>Serviços!Titulos_de_impressao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Leonardo</dc:creator>
  <cp:lastModifiedBy>giuliano.marcondes</cp:lastModifiedBy>
  <cp:lastPrinted>2013-10-16T17:59:19Z</cp:lastPrinted>
  <dcterms:created xsi:type="dcterms:W3CDTF">2011-08-23T05:17:49Z</dcterms:created>
  <dcterms:modified xsi:type="dcterms:W3CDTF">2013-10-16T17:59:31Z</dcterms:modified>
</cp:coreProperties>
</file>