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95" yWindow="195" windowWidth="15480" windowHeight="8190" tabRatio="823" activeTab="8"/>
  </bookViews>
  <sheets>
    <sheet name="Serviços" sheetId="2" r:id="rId1"/>
    <sheet name="Materiais" sheetId="3" r:id="rId2"/>
    <sheet name="C.P.U." sheetId="4" r:id="rId3"/>
    <sheet name="veículos" sheetId="11" r:id="rId4"/>
    <sheet name="BDI - SERVIÇOS" sheetId="5" r:id="rId5"/>
    <sheet name="BDI - MATERIAIS" sheetId="6" r:id="rId6"/>
    <sheet name="Enc. Soc." sheetId="9" r:id="rId7"/>
    <sheet name="INSUMOS - SINAPI" sheetId="7" r:id="rId8"/>
    <sheet name="Insumos cotação" sheetId="13" r:id="rId9"/>
    <sheet name="Memória de quantitativos" sheetId="12" r:id="rId10"/>
  </sheet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2" hidden="1">C.P.U.!$A$1:$L$210</definedName>
    <definedName name="_xlnm._FilterDatabase" localSheetId="7" hidden="1">'INSUMOS - SINAPI'!$A$2:$F$79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NA()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NA()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NA()</definedName>
    <definedName name="apc_8">NA()</definedName>
    <definedName name="apmfs">#REF!</definedName>
    <definedName name="are">#REF!</definedName>
    <definedName name="_xlnm.Print_Area" localSheetId="2">C.P.U.!$A$1:$H$269</definedName>
    <definedName name="_xlnm.Print_Area" localSheetId="7">'INSUMOS - SINAPI'!$A$1:$D$79</definedName>
    <definedName name="_xlnm.Print_Area" localSheetId="1">Materiais!$A$1:$F$27</definedName>
    <definedName name="_xlnm.Print_Area" localSheetId="0">Serviços!$A$1:$F$23</definedName>
    <definedName name="_xlnm.Print_Area" localSheetId="3">veículos!$A$1:$I$61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NA()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NA()</definedName>
    <definedName name="caba1_0_8">NA()</definedName>
    <definedName name="caba4">NA()</definedName>
    <definedName name="caba4_8">NA()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AT_8">NA()</definedName>
    <definedName name="desm">#REF!</definedName>
    <definedName name="DIE">#REF!</definedName>
    <definedName name="DIF">#REF!</definedName>
    <definedName name="DKM">#REF!</definedName>
    <definedName name="E">#REF!</definedName>
    <definedName name="ecm">#REF!</definedName>
    <definedName name="ele">#REF!</definedName>
    <definedName name="elr1_2">#REF!</definedName>
    <definedName name="elv50x40">#REF!</definedName>
    <definedName name="enc">#REF!</definedName>
    <definedName name="ENE">#REF!</definedName>
    <definedName name="epm2.5">#REF!</definedName>
    <definedName name="esm">#REF!</definedName>
    <definedName name="est">#REF!</definedName>
    <definedName name="est1.5_15">#REF!</definedName>
    <definedName name="Excel_BuiltIn__FilterDatabase_2">Serviços!$A$10:$F$23</definedName>
    <definedName name="fcm">#REF!</definedName>
    <definedName name="fer">#REF!</definedName>
    <definedName name="fossa">#REF!</definedName>
    <definedName name="FT">#REF!</definedName>
    <definedName name="GAS">#REF!</definedName>
    <definedName name="gdc">#REF!</definedName>
    <definedName name="gfg">#REF!</definedName>
    <definedName name="ggm">#REF!</definedName>
    <definedName name="graf">NA()</definedName>
    <definedName name="graf_8">NA()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ur">NA()</definedName>
    <definedName name="mour_8">NA()</definedName>
    <definedName name="mpm2.5">#REF!</definedName>
    <definedName name="msv">#REF!</definedName>
    <definedName name="niv">#REF!</definedName>
    <definedName name="nome">NA()</definedName>
    <definedName name="nome_8">NA()</definedName>
    <definedName name="odi">#REF!</definedName>
    <definedName name="ofc">NA()</definedName>
    <definedName name="ofc_8">NA()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es">#REF!</definedName>
    <definedName name="pig">#REF!</definedName>
    <definedName name="PII">#REF!</definedName>
    <definedName name="PIP">#REF!</definedName>
    <definedName name="plc">#REF!</definedName>
    <definedName name="plc2.5">#REF!</definedName>
    <definedName name="PMS">#REF!</definedName>
    <definedName name="pont">#REF!</definedName>
    <definedName name="pref">NA()</definedName>
    <definedName name="pref_8">NA()</definedName>
    <definedName name="prf">#REF!</definedName>
    <definedName name="prg">#REF!</definedName>
    <definedName name="PROJ">#REF!</definedName>
    <definedName name="prtm">#REF!</definedName>
    <definedName name="ptc7_8">NA()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o">#REF!</definedName>
    <definedName name="tbv">#REF!</definedName>
    <definedName name="ted">#REF!</definedName>
    <definedName name="ter">#REF!</definedName>
    <definedName name="tes">#REF!</definedName>
    <definedName name="tic">NA()</definedName>
    <definedName name="tic_8">NA()</definedName>
    <definedName name="TID">#REF!</definedName>
    <definedName name="_xlnm.Print_Titles" localSheetId="0">Serviços!$1:$11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zar">#REF!</definedName>
  </definedNames>
  <calcPr calcId="125725"/>
  <fileRecoveryPr autoRecover="0"/>
</workbook>
</file>

<file path=xl/calcChain.xml><?xml version="1.0" encoding="utf-8"?>
<calcChain xmlns="http://schemas.openxmlformats.org/spreadsheetml/2006/main">
  <c r="G151" i="4"/>
  <c r="H149"/>
  <c r="H150" s="1"/>
  <c r="H151" s="1"/>
  <c r="G149"/>
  <c r="G106"/>
  <c r="D35" i="9"/>
  <c r="C27"/>
  <c r="D27"/>
  <c r="F118" i="4"/>
  <c r="D60" i="11"/>
  <c r="D59"/>
  <c r="C194" i="4"/>
  <c r="G221"/>
  <c r="G220"/>
  <c r="F216"/>
  <c r="G122"/>
  <c r="G98"/>
  <c r="G95"/>
  <c r="G56"/>
  <c r="C28" i="7"/>
  <c r="G82" i="4" s="1"/>
  <c r="H82" s="1"/>
  <c r="C58" i="7"/>
  <c r="G81" i="4" s="1"/>
  <c r="C48" i="7"/>
  <c r="C29"/>
  <c r="G169" i="4" s="1"/>
  <c r="C7" i="7"/>
  <c r="C6"/>
  <c r="G83" i="4" s="1"/>
  <c r="H83" s="1"/>
  <c r="C6"/>
  <c r="G203"/>
  <c r="C122"/>
  <c r="C161"/>
  <c r="C170"/>
  <c r="C169"/>
  <c r="C165"/>
  <c r="E25" i="3"/>
  <c r="E24"/>
  <c r="E22"/>
  <c r="E21"/>
  <c r="E20"/>
  <c r="G52" i="4"/>
  <c r="G21" i="13"/>
  <c r="G20"/>
  <c r="F263" i="4" s="1"/>
  <c r="A20" i="13"/>
  <c r="A21" s="1"/>
  <c r="G19"/>
  <c r="G25" i="4" s="1"/>
  <c r="G16" i="13"/>
  <c r="E19" i="3" s="1"/>
  <c r="A16" i="13"/>
  <c r="G15"/>
  <c r="E18" i="3" s="1"/>
  <c r="E16"/>
  <c r="E15"/>
  <c r="G11" i="13"/>
  <c r="E14" i="3"/>
  <c r="G8" i="13"/>
  <c r="E17" i="3" s="1"/>
  <c r="G7" i="13"/>
  <c r="E13" i="3" s="1"/>
  <c r="G4" i="13"/>
  <c r="E23" i="3" s="1"/>
  <c r="G3" i="13"/>
  <c r="E12" i="3" s="1"/>
  <c r="H152" i="4" l="1"/>
  <c r="G182"/>
  <c r="G202"/>
  <c r="G204"/>
  <c r="G226"/>
  <c r="G11"/>
  <c r="H11" s="1"/>
  <c r="F251"/>
  <c r="H12"/>
  <c r="D27" i="3"/>
  <c r="K53" i="11" l="1"/>
  <c r="G54"/>
  <c r="I39"/>
  <c r="F12" i="3"/>
  <c r="G41" i="4"/>
  <c r="G39"/>
  <c r="G40"/>
  <c r="D23" i="2"/>
  <c r="D21"/>
  <c r="D20"/>
  <c r="D7" i="12"/>
  <c r="D6"/>
  <c r="D8"/>
  <c r="D5"/>
  <c r="D9" s="1"/>
  <c r="G66" i="4"/>
  <c r="G49"/>
  <c r="G59"/>
  <c r="G43"/>
  <c r="G67"/>
  <c r="G31"/>
  <c r="G35"/>
  <c r="G71"/>
  <c r="G33"/>
  <c r="G54"/>
  <c r="G28"/>
  <c r="G27"/>
  <c r="G32"/>
  <c r="G65"/>
  <c r="G58"/>
  <c r="G75"/>
  <c r="G68"/>
  <c r="G63"/>
  <c r="G61"/>
  <c r="G42"/>
  <c r="G62"/>
  <c r="G23"/>
  <c r="G46"/>
  <c r="G47"/>
  <c r="G44"/>
  <c r="G48"/>
  <c r="G45"/>
  <c r="G30"/>
  <c r="G69"/>
  <c r="G60"/>
  <c r="G50"/>
  <c r="G74"/>
  <c r="G73"/>
  <c r="G72"/>
  <c r="G70"/>
  <c r="G26"/>
  <c r="G24"/>
  <c r="G34"/>
  <c r="G29"/>
  <c r="G38"/>
  <c r="G37"/>
  <c r="G76"/>
  <c r="G36"/>
  <c r="G64"/>
  <c r="G53"/>
  <c r="G55"/>
  <c r="G51"/>
  <c r="F194"/>
  <c r="H194" s="1"/>
  <c r="F144"/>
  <c r="F143"/>
  <c r="F6"/>
  <c r="F7"/>
  <c r="H251"/>
  <c r="H252" s="1"/>
  <c r="H254" s="1"/>
  <c r="H255" s="1"/>
  <c r="H263"/>
  <c r="H264" s="1"/>
  <c r="H266" s="1"/>
  <c r="H267" s="1"/>
  <c r="G222"/>
  <c r="H222" s="1"/>
  <c r="H221"/>
  <c r="H220"/>
  <c r="H216"/>
  <c r="H217" s="1"/>
  <c r="G170"/>
  <c r="G165"/>
  <c r="I30" i="11"/>
  <c r="B154" i="4"/>
  <c r="C144"/>
  <c r="C143"/>
  <c r="H169" l="1"/>
  <c r="H268"/>
  <c r="H269" s="1"/>
  <c r="G239" s="1"/>
  <c r="H239" s="1"/>
  <c r="H256"/>
  <c r="H257" s="1"/>
  <c r="G238" s="1"/>
  <c r="H238" s="1"/>
  <c r="H223"/>
  <c r="H144"/>
  <c r="H143"/>
  <c r="H240" l="1"/>
  <c r="H242" s="1"/>
  <c r="H243" s="1"/>
  <c r="H244" s="1"/>
  <c r="H245" s="1"/>
  <c r="G198" s="1"/>
  <c r="H146"/>
  <c r="H153" s="1"/>
  <c r="H154" s="1"/>
  <c r="H155" s="1"/>
  <c r="E17" i="2" s="1"/>
  <c r="H81" i="4" l="1"/>
  <c r="H41"/>
  <c r="H39"/>
  <c r="H40"/>
  <c r="H52"/>
  <c r="H25"/>
  <c r="B16"/>
  <c r="H55"/>
  <c r="H64"/>
  <c r="H36"/>
  <c r="H76"/>
  <c r="H37"/>
  <c r="H38"/>
  <c r="H29"/>
  <c r="H24"/>
  <c r="H26"/>
  <c r="H70"/>
  <c r="H72"/>
  <c r="H73"/>
  <c r="H74"/>
  <c r="H50"/>
  <c r="H60"/>
  <c r="H69"/>
  <c r="H30"/>
  <c r="H45"/>
  <c r="H48"/>
  <c r="H44"/>
  <c r="H47"/>
  <c r="H46"/>
  <c r="H23"/>
  <c r="H62"/>
  <c r="H42"/>
  <c r="H61"/>
  <c r="H63"/>
  <c r="H68"/>
  <c r="H75"/>
  <c r="H58"/>
  <c r="H65"/>
  <c r="H32"/>
  <c r="H27"/>
  <c r="H28"/>
  <c r="H54"/>
  <c r="H33"/>
  <c r="H71"/>
  <c r="H35"/>
  <c r="H31"/>
  <c r="H67"/>
  <c r="H43"/>
  <c r="H59"/>
  <c r="H49"/>
  <c r="H66"/>
  <c r="H56"/>
  <c r="B88"/>
  <c r="H95"/>
  <c r="G96"/>
  <c r="H96" s="1"/>
  <c r="G97"/>
  <c r="H97" s="1"/>
  <c r="H98"/>
  <c r="B111"/>
  <c r="H128"/>
  <c r="H129"/>
  <c r="H130"/>
  <c r="H131"/>
  <c r="B136"/>
  <c r="B175"/>
  <c r="B187"/>
  <c r="B209"/>
  <c r="I9" i="11"/>
  <c r="I14" s="1"/>
  <c r="I26"/>
  <c r="I35"/>
  <c r="I44"/>
  <c r="H123" i="4"/>
  <c r="H124"/>
  <c r="C51"/>
  <c r="C53"/>
  <c r="C34"/>
  <c r="H203"/>
  <c r="H198"/>
  <c r="H199" s="1"/>
  <c r="H165"/>
  <c r="H166" s="1"/>
  <c r="D22" i="5"/>
  <c r="D14"/>
  <c r="D15"/>
  <c r="D13"/>
  <c r="D22" i="6"/>
  <c r="C12" i="5"/>
  <c r="C35" i="9"/>
  <c r="A2"/>
  <c r="D15"/>
  <c r="D38" s="1"/>
  <c r="C15"/>
  <c r="C38" s="1"/>
  <c r="D14" i="6"/>
  <c r="D15"/>
  <c r="D12"/>
  <c r="F23" i="3"/>
  <c r="A3"/>
  <c r="A3" i="9" s="1"/>
  <c r="A2" i="3"/>
  <c r="F13"/>
  <c r="F14"/>
  <c r="F15"/>
  <c r="F16"/>
  <c r="F17"/>
  <c r="F18"/>
  <c r="F19"/>
  <c r="F20"/>
  <c r="F21"/>
  <c r="F22"/>
  <c r="F24"/>
  <c r="F25"/>
  <c r="C12" i="6"/>
  <c r="D24"/>
  <c r="D26" s="1"/>
  <c r="H170" i="4"/>
  <c r="H171" s="1"/>
  <c r="H202"/>
  <c r="G80"/>
  <c r="H80" s="1"/>
  <c r="H84" s="1"/>
  <c r="F26" i="3" l="1"/>
  <c r="F27" s="1"/>
  <c r="F6" s="1"/>
  <c r="H106" i="4"/>
  <c r="H107" s="1"/>
  <c r="D12" i="5"/>
  <c r="D24" s="1"/>
  <c r="D26" s="1"/>
  <c r="H182" i="4"/>
  <c r="H183" s="1"/>
  <c r="G57"/>
  <c r="H57" s="1"/>
  <c r="H226"/>
  <c r="H227" s="1"/>
  <c r="H204"/>
  <c r="H205" s="1"/>
  <c r="H51"/>
  <c r="H53"/>
  <c r="H34"/>
  <c r="H122"/>
  <c r="H125" s="1"/>
  <c r="H6"/>
  <c r="H7"/>
  <c r="H195"/>
  <c r="I19" i="11"/>
  <c r="H132" i="4"/>
  <c r="H99"/>
  <c r="C37" i="9"/>
  <c r="C39" s="1"/>
  <c r="C40" s="1"/>
  <c r="I51" i="11"/>
  <c r="I56" s="1"/>
  <c r="G13" i="4" l="1"/>
  <c r="H13" s="1"/>
  <c r="G85"/>
  <c r="H85" s="1"/>
  <c r="G228"/>
  <c r="H228" s="1"/>
  <c r="H229" s="1"/>
  <c r="H230" s="1"/>
  <c r="H231" s="1"/>
  <c r="H232" s="1"/>
  <c r="G184"/>
  <c r="H184" s="1"/>
  <c r="H185" s="1"/>
  <c r="H186" s="1"/>
  <c r="H187" s="1"/>
  <c r="H188" s="1"/>
  <c r="E21" i="2" s="1"/>
  <c r="F21" s="1"/>
  <c r="G206" i="4"/>
  <c r="H206" s="1"/>
  <c r="H207" s="1"/>
  <c r="H208" s="1"/>
  <c r="H209" s="1"/>
  <c r="H210" s="1"/>
  <c r="E23" i="2" s="1"/>
  <c r="G108" i="4"/>
  <c r="H108" s="1"/>
  <c r="G172"/>
  <c r="H172" s="1"/>
  <c r="H77"/>
  <c r="H8"/>
  <c r="F17" i="2"/>
  <c r="F161" i="4"/>
  <c r="H161" s="1"/>
  <c r="H162" s="1"/>
  <c r="I52" i="11"/>
  <c r="I57" s="1"/>
  <c r="H118" i="4"/>
  <c r="H119" s="1"/>
  <c r="G102" l="1"/>
  <c r="H102" s="1"/>
  <c r="H103" s="1"/>
  <c r="H109" s="1"/>
  <c r="H110" s="1"/>
  <c r="H111" s="1"/>
  <c r="H112" s="1"/>
  <c r="E15" i="2" s="1"/>
  <c r="F15" s="1"/>
  <c r="H173" i="4"/>
  <c r="H174" s="1"/>
  <c r="H175" s="1"/>
  <c r="H176" s="1"/>
  <c r="E20" i="2" s="1"/>
  <c r="F20" s="1"/>
  <c r="F19" s="1"/>
  <c r="H86" i="4"/>
  <c r="H87" s="1"/>
  <c r="H88" s="1"/>
  <c r="H89" s="1"/>
  <c r="E14" i="2" s="1"/>
  <c r="F14" s="1"/>
  <c r="H14" i="4"/>
  <c r="H15" s="1"/>
  <c r="H16" s="1"/>
  <c r="H17" s="1"/>
  <c r="E13" i="2" s="1"/>
  <c r="F13" s="1"/>
  <c r="F23" l="1"/>
  <c r="F22" s="1"/>
  <c r="F18" l="1"/>
  <c r="D37" i="9" l="1"/>
  <c r="D39" s="1"/>
  <c r="D40" s="1"/>
  <c r="G133" i="4" s="1"/>
  <c r="H133" s="1"/>
  <c r="H134" s="1"/>
  <c r="H135" s="1"/>
  <c r="H136" l="1"/>
  <c r="H137" s="1"/>
  <c r="E16" i="2" s="1"/>
  <c r="F16" s="1"/>
  <c r="F12" l="1"/>
  <c r="F8" l="1"/>
  <c r="G12" s="1"/>
  <c r="G21" l="1"/>
  <c r="G20"/>
  <c r="G23"/>
  <c r="G18"/>
  <c r="G14"/>
  <c r="G22"/>
  <c r="F7"/>
  <c r="H8" s="1"/>
  <c r="F5" i="3"/>
  <c r="G19" i="2"/>
  <c r="G15"/>
  <c r="G17"/>
  <c r="G13"/>
  <c r="G16"/>
  <c r="H14" l="1"/>
  <c r="H20"/>
  <c r="H15"/>
  <c r="H22"/>
  <c r="H18"/>
  <c r="H5"/>
  <c r="I5"/>
  <c r="H13"/>
  <c r="H23"/>
  <c r="H21"/>
  <c r="H17"/>
  <c r="H19"/>
  <c r="H16"/>
  <c r="H12"/>
</calcChain>
</file>

<file path=xl/sharedStrings.xml><?xml version="1.0" encoding="utf-8"?>
<sst xmlns="http://schemas.openxmlformats.org/spreadsheetml/2006/main" count="1350" uniqueCount="539">
  <si>
    <t>00003251</t>
  </si>
  <si>
    <t>00007555</t>
  </si>
  <si>
    <t>00003520</t>
  </si>
  <si>
    <t>00003542</t>
  </si>
  <si>
    <t>00003535</t>
  </si>
  <si>
    <t>00003540</t>
  </si>
  <si>
    <t>00003521</t>
  </si>
  <si>
    <t>00011696</t>
  </si>
  <si>
    <t>00004750</t>
  </si>
  <si>
    <t>74209/001</t>
  </si>
  <si>
    <t>00004400</t>
  </si>
  <si>
    <t>00005050</t>
  </si>
  <si>
    <t>00005075</t>
  </si>
  <si>
    <t>00011752</t>
  </si>
  <si>
    <t>00020262</t>
  </si>
  <si>
    <t>00013329</t>
  </si>
  <si>
    <t>00007082</t>
  </si>
  <si>
    <t>00007138</t>
  </si>
  <si>
    <t>00007142</t>
  </si>
  <si>
    <t>00007186</t>
  </si>
  <si>
    <t>00007266</t>
  </si>
  <si>
    <t>00007345</t>
  </si>
  <si>
    <t>00007528</t>
  </si>
  <si>
    <t>00011832</t>
  </si>
  <si>
    <t>00011829</t>
  </si>
  <si>
    <t>00009836</t>
  </si>
  <si>
    <t>00009867</t>
  </si>
  <si>
    <t>00011680</t>
  </si>
  <si>
    <t>00009835</t>
  </si>
  <si>
    <t>00009838</t>
  </si>
  <si>
    <t>unid</t>
  </si>
  <si>
    <t>Capacete Plástico Rígido</t>
  </si>
  <si>
    <t>00012895</t>
  </si>
  <si>
    <t>Bota de couro soldada vulcanizada</t>
  </si>
  <si>
    <t>par</t>
  </si>
  <si>
    <t>00012893</t>
  </si>
  <si>
    <t>Oficial (pedreiro, carpinteiro, encanador)</t>
  </si>
  <si>
    <t>tabela eng. Consultiva codevasf</t>
  </si>
  <si>
    <t xml:space="preserve">Encarregado geral </t>
  </si>
  <si>
    <t>EPI´s para pessoal da Adm. Local (bota e capacete)</t>
  </si>
  <si>
    <t>Kit de primeiros socorros</t>
  </si>
  <si>
    <t xml:space="preserve">mês </t>
  </si>
  <si>
    <t>estimado</t>
  </si>
  <si>
    <t>0004083</t>
  </si>
  <si>
    <t>00004083</t>
  </si>
  <si>
    <t>MATERIAIS (R$)=</t>
  </si>
  <si>
    <t>00006153</t>
  </si>
  <si>
    <t>00010420</t>
  </si>
  <si>
    <t>ENCANADOR OU BOMBEIRO HIDRAULICO</t>
  </si>
  <si>
    <t>00001139</t>
  </si>
  <si>
    <t>Caminhão basculante 8 m³ 204 CV</t>
  </si>
  <si>
    <t>Chapa de madeira compesada  (resinado)  220X110X12</t>
  </si>
  <si>
    <t>00001350</t>
  </si>
  <si>
    <t>Telha fibrocimento 6 mm sem amianto</t>
  </si>
  <si>
    <t>Tanque em concreto 150 L</t>
  </si>
  <si>
    <t>Tanque em concreto</t>
  </si>
  <si>
    <t>Caixa de medição padrão Celpe</t>
  </si>
  <si>
    <t>00006111</t>
  </si>
  <si>
    <t>00000246</t>
  </si>
  <si>
    <t>ITEM</t>
  </si>
  <si>
    <t>UNID.</t>
  </si>
  <si>
    <t>QUANT.</t>
  </si>
  <si>
    <t>UNITÁRIO</t>
  </si>
  <si>
    <t>TOTAL</t>
  </si>
  <si>
    <t>1.1</t>
  </si>
  <si>
    <t>1.2</t>
  </si>
  <si>
    <t>1.3</t>
  </si>
  <si>
    <t>2.2</t>
  </si>
  <si>
    <t>2.3</t>
  </si>
  <si>
    <t>2.1</t>
  </si>
  <si>
    <t>PLANILHA ORÇAMENTÁRIA DE SERVIÇOS</t>
  </si>
  <si>
    <t>TOTAL R$</t>
  </si>
  <si>
    <t xml:space="preserve"> SERVIÇO R$</t>
  </si>
  <si>
    <t>PREÇO (R$)</t>
  </si>
  <si>
    <t>1</t>
  </si>
  <si>
    <t>INSTALAÇÕES PRELIMINARES E ADMINISTRAÇÃO LOCAL</t>
  </si>
  <si>
    <t>un</t>
  </si>
  <si>
    <t>m²</t>
  </si>
  <si>
    <t>1.5</t>
  </si>
  <si>
    <t>mês</t>
  </si>
  <si>
    <t>1.6</t>
  </si>
  <si>
    <t>1.7</t>
  </si>
  <si>
    <t>Desmobilização</t>
  </si>
  <si>
    <t>2</t>
  </si>
  <si>
    <t>SERVIÇOS PRELIMINARES</t>
  </si>
  <si>
    <t>2.1.1</t>
  </si>
  <si>
    <t>2.1.2</t>
  </si>
  <si>
    <t>m</t>
  </si>
  <si>
    <t>2.2.1</t>
  </si>
  <si>
    <t>m³</t>
  </si>
  <si>
    <t>TOTAL (R$)=</t>
  </si>
  <si>
    <t>PLANILHA ORÇAMENTÁRIA DE MATERIAIS</t>
  </si>
  <si>
    <t>DESCRIÇÃO</t>
  </si>
  <si>
    <t>1.11</t>
  </si>
  <si>
    <t>1.12</t>
  </si>
  <si>
    <t>1.13</t>
  </si>
  <si>
    <t>1.14</t>
  </si>
  <si>
    <t>CODEVASF</t>
  </si>
  <si>
    <t xml:space="preserve"> COMPOSIÇÃO DE PREÇO UNITÁRIO</t>
  </si>
  <si>
    <t xml:space="preserve">UNIDADE: </t>
  </si>
  <si>
    <t>EQUIPAMENTO</t>
  </si>
  <si>
    <t>DISCRIMINAÇÃO</t>
  </si>
  <si>
    <t>UNIDADE</t>
  </si>
  <si>
    <t>PROD</t>
  </si>
  <si>
    <t>IMPROD</t>
  </si>
  <si>
    <t>P.UNIT. PROD</t>
  </si>
  <si>
    <t>P.UNIT. IMPR</t>
  </si>
  <si>
    <t>P.TOTAL</t>
  </si>
  <si>
    <t>h</t>
  </si>
  <si>
    <t>Caminhão basculante</t>
  </si>
  <si>
    <t xml:space="preserve">Caminhão carroceria fixa </t>
  </si>
  <si>
    <t>SUB-TOTAL</t>
  </si>
  <si>
    <t>MATERIAL</t>
  </si>
  <si>
    <t>P.UNIT.</t>
  </si>
  <si>
    <t>SERVIÇOS - COMPOSIÇÕES AUXILIARES</t>
  </si>
  <si>
    <t>MÃO DE OBRA</t>
  </si>
  <si>
    <t>PRODUÇÃO DA EQUIPE</t>
  </si>
  <si>
    <t xml:space="preserve">CUSTO </t>
  </si>
  <si>
    <t xml:space="preserve">BDI       </t>
  </si>
  <si>
    <t>%</t>
  </si>
  <si>
    <t>TOTAL DO SERVIÇO - R$</t>
  </si>
  <si>
    <t>Madeirit fenólico (resinado)  220X110X14</t>
  </si>
  <si>
    <t>u</t>
  </si>
  <si>
    <t>Prego 18x30</t>
  </si>
  <si>
    <t>kg</t>
  </si>
  <si>
    <t xml:space="preserve">Pontalete de madeira </t>
  </si>
  <si>
    <t>Conjunto de fixação e vedação para telhas de fibrocimento (parafuso, arruela elástica e metálica)</t>
  </si>
  <si>
    <t>Vaso sanitário branco</t>
  </si>
  <si>
    <t xml:space="preserve">Descarga de plástico </t>
  </si>
  <si>
    <t>Dobradiça metálica</t>
  </si>
  <si>
    <t>Cadeado 25 mm</t>
  </si>
  <si>
    <t xml:space="preserve">Cimento </t>
  </si>
  <si>
    <t>Areia Lavada</t>
  </si>
  <si>
    <t>Brita 1</t>
  </si>
  <si>
    <t xml:space="preserve">Tubo de PVC JS DN 20 mm para água </t>
  </si>
  <si>
    <t>Tubo PVC JS DN 100 mm para esgoto</t>
  </si>
  <si>
    <t>Tubo PVC JS DN 40 mm para esgoto</t>
  </si>
  <si>
    <t xml:space="preserve">Tubo PVC JS DN 50 mm para esgoto </t>
  </si>
  <si>
    <t>Lavatório</t>
  </si>
  <si>
    <t>Caixa d´água 500 l</t>
  </si>
  <si>
    <t>Joelho de PVC JS DN 20 mm</t>
  </si>
  <si>
    <t xml:space="preserve">Joelho de PVC JSxrosca DN 20 x 1/2" </t>
  </si>
  <si>
    <t>Joelho de PVC JS DN 100 mm</t>
  </si>
  <si>
    <t>Joelho de PVC JS DN 50 mm</t>
  </si>
  <si>
    <t>Joelho de PVC JS DN 40 mm</t>
  </si>
  <si>
    <t>Adesivo para pvc</t>
  </si>
  <si>
    <t>l</t>
  </si>
  <si>
    <t>Te de PVC JS DN 20 mm</t>
  </si>
  <si>
    <t>Flange para caixa d´água 1/2"</t>
  </si>
  <si>
    <t>Te de PVC JS DN 100mm</t>
  </si>
  <si>
    <t>Te de PVC JS DN 50mm</t>
  </si>
  <si>
    <t>Torneira bóia 1/2"</t>
  </si>
  <si>
    <t>Válvula para pia</t>
  </si>
  <si>
    <t xml:space="preserve">Sifão para pia </t>
  </si>
  <si>
    <t>Tijolo cerâmico furado</t>
  </si>
  <si>
    <t>Caixa sifonada PVC com grelha quadrada simples (150x150x50)mm</t>
  </si>
  <si>
    <t>Cabo flexível 16 mm</t>
  </si>
  <si>
    <t>Cabo flexivel 2,5 mm</t>
  </si>
  <si>
    <t>Poste metálico h = 2,5 m</t>
  </si>
  <si>
    <t xml:space="preserve">Chuveiro plástico </t>
  </si>
  <si>
    <t>Tubo para chuveiro</t>
  </si>
  <si>
    <t>Cinta (braçadeira) de aço galvanizado com parafusos para pontalete e poste, diâmetro 102 mm</t>
  </si>
  <si>
    <t xml:space="preserve">Tomada universal </t>
  </si>
  <si>
    <t>Interruptor simples</t>
  </si>
  <si>
    <t>Soquete de plástico para lâmpada</t>
  </si>
  <si>
    <t>Tinta PVA látex</t>
  </si>
  <si>
    <t>A1</t>
  </si>
  <si>
    <t>A2</t>
  </si>
  <si>
    <t>A3</t>
  </si>
  <si>
    <t>Salário Educação</t>
  </si>
  <si>
    <t>A4</t>
  </si>
  <si>
    <t>A5</t>
  </si>
  <si>
    <t>A6</t>
  </si>
  <si>
    <t>A7</t>
  </si>
  <si>
    <t>A8</t>
  </si>
  <si>
    <t>A</t>
  </si>
  <si>
    <t>B1</t>
  </si>
  <si>
    <t>B2</t>
  </si>
  <si>
    <t>B3</t>
  </si>
  <si>
    <t>B4</t>
  </si>
  <si>
    <t>B5</t>
  </si>
  <si>
    <t>B</t>
  </si>
  <si>
    <t>C1</t>
  </si>
  <si>
    <t>C2</t>
  </si>
  <si>
    <t>C3</t>
  </si>
  <si>
    <t>C</t>
  </si>
  <si>
    <t>D1</t>
  </si>
  <si>
    <t>D2</t>
  </si>
  <si>
    <t>D</t>
  </si>
  <si>
    <t>Horista (%)</t>
  </si>
  <si>
    <t>Mensalista (%)</t>
  </si>
  <si>
    <t>INSS</t>
  </si>
  <si>
    <t>FGTS</t>
  </si>
  <si>
    <t>00000370</t>
  </si>
  <si>
    <t>0000643</t>
  </si>
  <si>
    <t>ENCARGOS SOCIAIS QUE NÃO RECEBEM INCIDÊNCIA DE "A"</t>
  </si>
  <si>
    <t>Registro de pressão ou gaveta 1/2"</t>
  </si>
  <si>
    <t>Oficial</t>
  </si>
  <si>
    <t>Servente</t>
  </si>
  <si>
    <t>Caminhão carroceria fixa</t>
  </si>
  <si>
    <t>m3</t>
  </si>
  <si>
    <t>chp</t>
  </si>
  <si>
    <t>m2</t>
  </si>
  <si>
    <t xml:space="preserve">SERVIÇO: Placa de identificação de obra- Forneciemento e instalação </t>
  </si>
  <si>
    <t xml:space="preserve">Placa de identificação de obras, conforme Lay-out normatizado </t>
  </si>
  <si>
    <t>Encanador</t>
  </si>
  <si>
    <t>ADMINISTRAÇÃO CENTRAL (A)</t>
  </si>
  <si>
    <t>IMPOSTOS E TAXAS (I)</t>
  </si>
  <si>
    <t>TAXA DE RISCO (R )</t>
  </si>
  <si>
    <t>DESPESAS FINANCEIRAS (F)</t>
  </si>
  <si>
    <t>LUCRO (L)</t>
  </si>
  <si>
    <t>TAXA DE RISCO ( R)</t>
  </si>
  <si>
    <t xml:space="preserve">Cofins </t>
  </si>
  <si>
    <t>mil</t>
  </si>
  <si>
    <t>UN</t>
  </si>
  <si>
    <t>capital social</t>
  </si>
  <si>
    <t xml:space="preserve">PIS </t>
  </si>
  <si>
    <t>KG</t>
  </si>
  <si>
    <t>Custo horário sem motorista</t>
  </si>
  <si>
    <t>Custo horário com motorista</t>
  </si>
  <si>
    <t>1.4</t>
  </si>
  <si>
    <t>1.8</t>
  </si>
  <si>
    <t>1.9</t>
  </si>
  <si>
    <t>1.10</t>
  </si>
  <si>
    <t>CIMENTO PORTLAND COMUM CP I- 32</t>
  </si>
  <si>
    <t>Item</t>
  </si>
  <si>
    <t>Descrição dos Serviços</t>
  </si>
  <si>
    <t xml:space="preserve">% </t>
  </si>
  <si>
    <t>BDI</t>
  </si>
  <si>
    <t>PV</t>
  </si>
  <si>
    <t>CD</t>
  </si>
  <si>
    <t>ESCRITÓRIO CENTRAL</t>
  </si>
  <si>
    <t>VIAGENS</t>
  </si>
  <si>
    <t>OUTROS</t>
  </si>
  <si>
    <t>ISS</t>
  </si>
  <si>
    <t>Cofins</t>
  </si>
  <si>
    <t>0,00</t>
  </si>
  <si>
    <t>BDI CALCULADO</t>
  </si>
  <si>
    <t>BDI ADOTADO</t>
  </si>
  <si>
    <t xml:space="preserve">P.UNIT. </t>
  </si>
  <si>
    <t>Código</t>
  </si>
  <si>
    <t>orgão</t>
  </si>
  <si>
    <t>SINAPI</t>
  </si>
  <si>
    <t>ADESIVO PVC FRASCO C/ 850G</t>
  </si>
  <si>
    <t>00000122</t>
  </si>
  <si>
    <t>DEPRECIAÇÃO MENSAL:</t>
  </si>
  <si>
    <t xml:space="preserve">Preço de Aquisição: </t>
  </si>
  <si>
    <t>JUROS PELO CAPITAL EMPREGADO:</t>
  </si>
  <si>
    <t>Taxa de Juros:</t>
  </si>
  <si>
    <t>CONSERVAÇÃO E MANUTENÇÃO:</t>
  </si>
  <si>
    <t>COMBUSTÍVEL:</t>
  </si>
  <si>
    <t xml:space="preserve"> PNEUS :</t>
  </si>
  <si>
    <t>Tempo previsto de vida útivl (meses)</t>
  </si>
  <si>
    <t>Previsão de recuperação na venda do bem usado</t>
  </si>
  <si>
    <t>Custo Mensal [A1-(A3xA1)/A2]</t>
  </si>
  <si>
    <r>
      <t xml:space="preserve"> </t>
    </r>
    <r>
      <rPr>
        <sz val="10"/>
        <rFont val="Arial"/>
        <family val="2"/>
      </rPr>
      <t>Juros Sobre Depreciação/aluguel (B1xA4)</t>
    </r>
  </si>
  <si>
    <t>Taxa de Gastos Sobre a Depreciação incluindo Seguros:</t>
  </si>
  <si>
    <t>Incidência mensal (C1xA4)</t>
  </si>
  <si>
    <t>Média mensal de quilômetro por veículo</t>
  </si>
  <si>
    <t>D3</t>
  </si>
  <si>
    <t>D4</t>
  </si>
  <si>
    <t>Preço do litro de Combustível: (gasolina)</t>
  </si>
  <si>
    <t xml:space="preserve">Quilômetros rodados com um litro de combustível </t>
  </si>
  <si>
    <t>Combustível (D1/D3)*D2</t>
  </si>
  <si>
    <t>E</t>
  </si>
  <si>
    <t>E1</t>
  </si>
  <si>
    <t>E2</t>
  </si>
  <si>
    <t>E3</t>
  </si>
  <si>
    <t>E4</t>
  </si>
  <si>
    <t>E5</t>
  </si>
  <si>
    <t>E6</t>
  </si>
  <si>
    <t>LUBRIFICANTES:</t>
  </si>
  <si>
    <t>Quilometragem do contrato</t>
  </si>
  <si>
    <t>Franquia por troca de óleo</t>
  </si>
  <si>
    <t xml:space="preserve">Preço do litro de óleo </t>
  </si>
  <si>
    <t>Quantidade de litros de óleo por troca</t>
  </si>
  <si>
    <t>Quantidade de dias do contrato</t>
  </si>
  <si>
    <t>Lubrificantes E = (E1*E3*E4*30)/E2*E5</t>
  </si>
  <si>
    <t>F</t>
  </si>
  <si>
    <t>F1</t>
  </si>
  <si>
    <t>F2</t>
  </si>
  <si>
    <t>F3</t>
  </si>
  <si>
    <t>F4</t>
  </si>
  <si>
    <t>F5</t>
  </si>
  <si>
    <t>F6</t>
  </si>
  <si>
    <t>Vida do Pneu em Quilômetros</t>
  </si>
  <si>
    <t>Quantidade de pneus</t>
  </si>
  <si>
    <t>Preço Pneu</t>
  </si>
  <si>
    <t>Pneus = (F1*F3*F4*30)/(F2*F5)</t>
  </si>
  <si>
    <t>G</t>
  </si>
  <si>
    <t>MÃO DE OBRA*</t>
  </si>
  <si>
    <t>MOTORISTA</t>
  </si>
  <si>
    <t>G1</t>
  </si>
  <si>
    <t xml:space="preserve">Salário com encargos sociais </t>
  </si>
  <si>
    <t>H</t>
  </si>
  <si>
    <t>CUSTO MENSAL</t>
  </si>
  <si>
    <t>Sem motorista</t>
  </si>
  <si>
    <t>Com motorista</t>
  </si>
  <si>
    <t>I</t>
  </si>
  <si>
    <t>I1</t>
  </si>
  <si>
    <t>I2</t>
  </si>
  <si>
    <t>PREÇO COBRADO PELA EMPRESA</t>
  </si>
  <si>
    <t>BDI:</t>
  </si>
  <si>
    <t>Codevasf - tabela eng consultiva</t>
  </si>
  <si>
    <t>00000366</t>
  </si>
  <si>
    <t>00004721</t>
  </si>
  <si>
    <t>00004718</t>
  </si>
  <si>
    <t>00001004</t>
  </si>
  <si>
    <t>00001014</t>
  </si>
  <si>
    <t>00005090</t>
  </si>
  <si>
    <t>00011871</t>
  </si>
  <si>
    <t>00013844</t>
  </si>
  <si>
    <t>00011712</t>
  </si>
  <si>
    <t>00001140</t>
  </si>
  <si>
    <t>00007608</t>
  </si>
  <si>
    <t>00001379</t>
  </si>
  <si>
    <t>00011929</t>
  </si>
  <si>
    <t>00004314</t>
  </si>
  <si>
    <t>00001030</t>
  </si>
  <si>
    <t>00011440</t>
  </si>
  <si>
    <t>00002436</t>
  </si>
  <si>
    <t>00002696</t>
  </si>
  <si>
    <t>00006253</t>
  </si>
  <si>
    <t>CUSTO UNITÁRIO DO SERVIÇO</t>
  </si>
  <si>
    <t>00001143</t>
  </si>
  <si>
    <t>Peça de madeira de 2,5 x 7,5 cm</t>
  </si>
  <si>
    <t>Peça de madeira de lei 2,5 x7,5 cm</t>
  </si>
  <si>
    <t>00004417</t>
  </si>
  <si>
    <t>Peça de madeira de 7,5 x 7,5 cm</t>
  </si>
  <si>
    <t>00004491</t>
  </si>
  <si>
    <t>Peça de madeira de lei 7,5 x7,5 cm</t>
  </si>
  <si>
    <t>PETROLINA - PE / AGOSTO DE 2013</t>
  </si>
  <si>
    <t>INSTALAÇÃO DOS CAVALETES HIDRÁULICOS</t>
  </si>
  <si>
    <t xml:space="preserve">Levantamento das pressões de operação nas parcelas irrigadas para definição da válvula de controle a ser instalada </t>
  </si>
  <si>
    <t>SERVIÇOS DE MONTAGEM E INSTALAÇÃO</t>
  </si>
  <si>
    <t>DATA: JUN/13</t>
  </si>
  <si>
    <t>INSTALAÇÃO DOS CAVALETES HIDRÁULICOS PFUL/PBRI/PIMA</t>
  </si>
  <si>
    <t>Lâmpada Florescente compacta 90W</t>
  </si>
  <si>
    <t>Bancada de madeira 2,5 m x 1,5 m; altura de 1,10 m forrada com manta de borracha</t>
  </si>
  <si>
    <t>Morsa para bancada 1/8" a 4" (morsa nº 4)</t>
  </si>
  <si>
    <t>Extintor de H2O 10 L</t>
  </si>
  <si>
    <t>Extintor H2O 10 L</t>
  </si>
  <si>
    <t>Extintor de CO2 de 06 kg</t>
  </si>
  <si>
    <t>Extintor CO2 6KG</t>
  </si>
  <si>
    <t>00010886</t>
  </si>
  <si>
    <t>00010889</t>
  </si>
  <si>
    <t>Extintor de PQS de 06 kg</t>
  </si>
  <si>
    <t>00010892</t>
  </si>
  <si>
    <t>Torneira Plástica de 1/2"</t>
  </si>
  <si>
    <t>Torneira plástica de 1/2" para lavatório</t>
  </si>
  <si>
    <t>Caixa de medição padrão CELP</t>
  </si>
  <si>
    <t>00003755</t>
  </si>
  <si>
    <t>Lâmpada Florescente compacta</t>
  </si>
  <si>
    <t>0003755</t>
  </si>
  <si>
    <t xml:space="preserve">Concreto não estrutural, consumo 150 kg/m³, (1:3,5:7), preparo com betoneira    </t>
  </si>
  <si>
    <t>5652</t>
  </si>
  <si>
    <t>0004813</t>
  </si>
  <si>
    <t>0000611</t>
  </si>
  <si>
    <t>SERVIÇO: Administração local e manutenção do canteiro de serviços e oficina</t>
  </si>
  <si>
    <t>Rosqueadora elétrica para tubos, capacidade de 1/2" a 4" com acessórios</t>
  </si>
  <si>
    <t>Engenheiro (P4)</t>
  </si>
  <si>
    <t>Encargos Sociais (%)</t>
  </si>
  <si>
    <t>tabela eng consultiva da codevasf 2013</t>
  </si>
  <si>
    <t>Auxiliar de Serviços Gerais</t>
  </si>
  <si>
    <t xml:space="preserve">Material de limpeza/ escritório </t>
  </si>
  <si>
    <t>SERVIÇO: Desmobilização</t>
  </si>
  <si>
    <t>SERVIÇO: Levantamento das pressões de operação nas parcelas irrigadas para definição da válvula de controle a ser instalada</t>
  </si>
  <si>
    <t>Veículo hatch 1.0 flex 72 cv</t>
  </si>
  <si>
    <t xml:space="preserve">Fornecimento de veiculo Hatch 1.0 Flex (72 cv) </t>
  </si>
  <si>
    <t>Manômetro glicerinado 0- 10 kgf/cm² conexão 1/2" BSP</t>
  </si>
  <si>
    <t>Manômetro glicerinado 0 - 10 kgf / cm²</t>
  </si>
  <si>
    <t>00012898</t>
  </si>
  <si>
    <t>Encarregado geral</t>
  </si>
  <si>
    <t>Auxiliar de encanador</t>
  </si>
  <si>
    <t>0000246</t>
  </si>
  <si>
    <t>DESCRIÇÃO DOS SERVIÇOS</t>
  </si>
  <si>
    <t>Montagem, transporte e instalação dos cavaletes hidráulicos nas parcelas irrigadas, incluindo às caixas de proteção em concreto pré moldado</t>
  </si>
  <si>
    <t>SERVIÇO: Montagem, transporte e instalação dos cavaletes hidráulicos nas parcelas irrigadas, incluindo às caixas de proteção em concreto pré moldado</t>
  </si>
  <si>
    <t>Auxiliar de encandor</t>
  </si>
  <si>
    <t>0002696</t>
  </si>
  <si>
    <t>1.3.1</t>
  </si>
  <si>
    <t>COMPOSIÇÃO AUXILIAR</t>
  </si>
  <si>
    <t>UNIDADE:</t>
  </si>
  <si>
    <t>Betoneira 320L diesel, 5,5HP; s/ carregador mecânico</t>
  </si>
  <si>
    <t>Areia média- posto/jazida, fornecedor sem frete</t>
  </si>
  <si>
    <t>Pedra britada nº 2 ou 25 mm, posto - pedreira/fornecedor</t>
  </si>
  <si>
    <t>Cimento portland comum CP 32</t>
  </si>
  <si>
    <t>CUSTO</t>
  </si>
  <si>
    <t>sinapi serv. Cód. 5652 = R$226,15</t>
  </si>
  <si>
    <t>Areia média posto/ jazida</t>
  </si>
  <si>
    <t>Pedra Britada nº 2</t>
  </si>
  <si>
    <t>0000370</t>
  </si>
  <si>
    <t>0004718</t>
  </si>
  <si>
    <t>2.2.1.1</t>
  </si>
  <si>
    <t>2.2.1.1.1</t>
  </si>
  <si>
    <t>2.2.1.1.2</t>
  </si>
  <si>
    <t>SERVIÇO: Concreto não estrutural, consumo = 150kg/m³, preparado com betoneira, sem lançamento</t>
  </si>
  <si>
    <t xml:space="preserve">COMPOSIÇÃO AUXILIAR </t>
  </si>
  <si>
    <t xml:space="preserve">SERVIÇO: Custo horário produtivo diurno – rosqueadora elétrica para tubos </t>
  </si>
  <si>
    <t>Rosqueadora elétrica para tubos – juros e depreciação</t>
  </si>
  <si>
    <t>Rosqueadora elétrica para tubos – manutenção</t>
  </si>
  <si>
    <t>SERVIÇO: Rosqueadora elétrica para tubos – juros e depreciação</t>
  </si>
  <si>
    <t>Rosqueadora elétrica para tubos</t>
  </si>
  <si>
    <t>SERVIÇO: Rosqueadora elétrica para tubos – manutenção</t>
  </si>
  <si>
    <t>Telha de fibrocimento 6 mm</t>
  </si>
  <si>
    <t>Instalação de canteiro de serviços e oficina, conforme layout apresentado pela contratada e aceito pela fiscalização</t>
  </si>
  <si>
    <t>SERVIÇO: Instalação do canteiro de serviços e oficina, conforme layout apresentado pela contratada e aceito pela fiscalização</t>
  </si>
  <si>
    <t>Fulgêncio</t>
  </si>
  <si>
    <t>Brígida</t>
  </si>
  <si>
    <t>HIDRÔMETRO DN 50 MM</t>
  </si>
  <si>
    <t>HIDRÔMETRO DN 80 MM</t>
  </si>
  <si>
    <t>PERÍMETRO</t>
  </si>
  <si>
    <t>Icó Mandantes BL 03</t>
  </si>
  <si>
    <t>Icó Mandantes BL 04</t>
  </si>
  <si>
    <t>QUANTITATIVO E DIÂMETRO DE HIDRÔMETROS A SEREM INSTALADOS EM CADA PERÍMETRO</t>
  </si>
  <si>
    <t>TOTAL GERAL</t>
  </si>
  <si>
    <t>TOTAL / PERÍMETRO</t>
  </si>
  <si>
    <t>COTAÇÃO</t>
  </si>
  <si>
    <t>Extintor PQS 6KG</t>
  </si>
  <si>
    <t>INSTALAÇÃO DOS CAVALETES</t>
  </si>
  <si>
    <t>Adaptador PVC LF, bolsa soldável, rosca macho DN 75 mm x 3"</t>
  </si>
  <si>
    <t>Arruela limitadora de vazão em bronze TM 23</t>
  </si>
  <si>
    <t>Bucha redução em ferro galvanizado rosca ref. 1 1/2" x 1"</t>
  </si>
  <si>
    <t>Diafragma de borracha nitrílica lonada do piloto da válvula controladora 57 mm de diâmetro x 3,5 x 4 mm</t>
  </si>
  <si>
    <t>Fita veda Rosca 18 mm x 50 m - rolo</t>
  </si>
  <si>
    <t>Flange em aço carbono galvanizado DN 2', PN 16 c/ 04 furos</t>
  </si>
  <si>
    <t>Junta plana de borracha sintética em SBR (copolímero de estireno-butadiento) DN 2" x 3,0mm para vedação entre flanges</t>
  </si>
  <si>
    <t>Junta plana de borracha sintética em SBR (copolímero de estireno-butadiento) DN 3" x 3,0mm para vedação entre flanges</t>
  </si>
  <si>
    <t>Lâmina de serra</t>
  </si>
  <si>
    <t>Luva redução galvanizada DN 3" x 2"</t>
  </si>
  <si>
    <t>Niple galvanizado DN 2"</t>
  </si>
  <si>
    <t>Redução concêntrica PVC LF, bolsa soldável, DN 100 x 75 mm</t>
  </si>
  <si>
    <t>DESCRIÇÃO DOS MATERIAIS</t>
  </si>
  <si>
    <t>Tinta zarcão - galão 3,6 L</t>
  </si>
  <si>
    <t>União galvanizada com assento de bronze DN 2"</t>
  </si>
  <si>
    <t>SERVIÇO: Limpeza da vegetação, sondagem da rede existente e escavação de cava para assentamento da caixa de proteção do cavalete hidráulico</t>
  </si>
  <si>
    <t>Valor (R$)</t>
  </si>
  <si>
    <t>SUBTOTAL MATERIAIS</t>
  </si>
  <si>
    <t>SUBTOTAL MATERIAIS COM BDI</t>
  </si>
  <si>
    <t>PEÇAS E FERRAMENTAS</t>
  </si>
  <si>
    <t>Descrição Material</t>
  </si>
  <si>
    <t>Unid.</t>
  </si>
  <si>
    <t>LOJA DO MECÂNICO</t>
  </si>
  <si>
    <t>FERRAMENTAS GERAIS</t>
  </si>
  <si>
    <t>PARAFUSOLÂNDIA</t>
  </si>
  <si>
    <t>R$ Custo Mínimo</t>
  </si>
  <si>
    <t>Adaptador PVC, bolsa soldável, rosca macho DN75mm x 3"</t>
  </si>
  <si>
    <t>Redução PVC, bolsa soldável, DN 100mm x 75mm</t>
  </si>
  <si>
    <t>Serra</t>
  </si>
  <si>
    <t>UCAF</t>
  </si>
  <si>
    <t>GE MANUTENÇÃO</t>
  </si>
  <si>
    <t>MAGRIPEL</t>
  </si>
  <si>
    <t>Arruela limitadora de vazão em bronze</t>
  </si>
  <si>
    <t>Flange em aço carbono galvanizado DN 2", PN 16 (04 furos)</t>
  </si>
  <si>
    <t>Bucha redução em ferro galv. Rosca 1 1/2" x 1</t>
  </si>
  <si>
    <t>00000791</t>
  </si>
  <si>
    <t>FAMAL</t>
  </si>
  <si>
    <t>RED BORRACHAS INDUSTRIAIS</t>
  </si>
  <si>
    <t>Diafragma de borracha nitrílica lonada do piloto da válvula controladora, Ø 57 x 3,5 x 4mm</t>
  </si>
  <si>
    <t>00003148</t>
  </si>
  <si>
    <t>AFA</t>
  </si>
  <si>
    <t xml:space="preserve">Junta plana de borracha sintética em SBR (Copolímero de estireno-butadieno)  DN 2" x  3,0mm esp. Para vedação entre flange </t>
  </si>
  <si>
    <t xml:space="preserve">Junta plana de borracha sintética em SBR (Copolímero de estireno-butadieno)  DN 3" x  3,0mm esp. Para vedação entre flange </t>
  </si>
  <si>
    <t>ACAMARGO</t>
  </si>
  <si>
    <t>Bancada de madeira com 2,5 m x 1,5 m x 1,10 m forrada com manta de borracha</t>
  </si>
  <si>
    <t>Rosqueadeira elétrica para tubos, capacidade de 1/2" a 4" com acessórios</t>
  </si>
  <si>
    <t>Torno para bancada, 1/8" a 4" ( Morsa nº 04)</t>
  </si>
  <si>
    <t>ROYAL</t>
  </si>
  <si>
    <t>SERMAP</t>
  </si>
  <si>
    <t>SHOPMANIA</t>
  </si>
  <si>
    <t>00003930</t>
  </si>
  <si>
    <t>00004181</t>
  </si>
  <si>
    <t>Tinta zarcão galão de 3,6 L</t>
  </si>
  <si>
    <t>gl</t>
  </si>
  <si>
    <t>00007308</t>
  </si>
  <si>
    <t>000012428</t>
  </si>
  <si>
    <t>Almoxarife (A3)</t>
  </si>
  <si>
    <t>Ajudante de serviços gerais (A4)</t>
  </si>
  <si>
    <t>Vigia (A4)</t>
  </si>
  <si>
    <t>% total</t>
  </si>
  <si>
    <t>00006121</t>
  </si>
  <si>
    <t xml:space="preserve">Peça de madeira </t>
  </si>
  <si>
    <t>Peça de madeira de lei 3 x 6 cm</t>
  </si>
  <si>
    <t>00004464</t>
  </si>
  <si>
    <t>00061111</t>
  </si>
  <si>
    <t>% sobre serv</t>
  </si>
  <si>
    <t>modalidade de licitação</t>
  </si>
  <si>
    <t xml:space="preserve">Adm. Local e Manut. do canteiro de serviços e oficina </t>
  </si>
  <si>
    <t>SERVIÇO: Mobilização, retirada e transporte de materiais do almoxarifado da Codevasf</t>
  </si>
  <si>
    <t>Mobilização, retirada e transporte de materiais do almoxarifado da Codevasf</t>
  </si>
  <si>
    <t>Placa de identificação dos serviços com 2 X 3 m - fornecimento e instalação (02 unidades)</t>
  </si>
  <si>
    <t>Sondagem da rede existente, limpeza da camada superficial de vegetação e escavação de cava para assentamento da caixa de proteção e interligação do cavalete hidráulico</t>
  </si>
  <si>
    <t>EXECUÇÃO DOS SERVIÇOS E FORNECIMENTOS PARA MONTAGEM E INSTALAÇÃO DE 1.902 (MIL NOVECENTOS E DOIS) CAVALETES HIDRÁULICOS, COMPOSTOS POR VÁLVULAS CONTROLADORAS, HIDRÔMETROS, CONEXÕES E DEMAIS ACESSÓRIOS NAS PARCELAS IRRIGADAS DOS PERÍMETROS DE IRRIGAÇÃO FULGÊNCIO, BRÍGIDA E ICÓ-MANDANTES (BLOCOS 03 E 04), LOCALIZADOS, RESPECTIVAMENTE, NOS MUNICÍPIOS DE SANTA MARIA DA BOA VISTA, OROCÓ E PETROLÂNDIA NO ESTADO PERNAMBUCO</t>
  </si>
  <si>
    <t xml:space="preserve"> DETALHAMENTO DO BDI SERVIÇOS</t>
  </si>
  <si>
    <t>DETALHAMENTO DE BDI MATERIAIS</t>
  </si>
  <si>
    <t>INSUMOS - SINAPI (folha 1/2)</t>
  </si>
  <si>
    <t>INSUMOS - SINAPI (folha 2/2)</t>
  </si>
  <si>
    <t>Betoneira 320 L 5,5 hp diesel</t>
  </si>
  <si>
    <t>00000643</t>
  </si>
  <si>
    <t>SESI</t>
  </si>
  <si>
    <t xml:space="preserve">SENAI </t>
  </si>
  <si>
    <t xml:space="preserve">INCRA </t>
  </si>
  <si>
    <t>SEBRAE</t>
  </si>
  <si>
    <t>Seguro Contra Acidentes de Trabalho</t>
  </si>
  <si>
    <t>GRUPO A</t>
  </si>
  <si>
    <t>Total dos Encargos Sociais Básicos</t>
  </si>
  <si>
    <t>B6</t>
  </si>
  <si>
    <t>B7</t>
  </si>
  <si>
    <t>B8</t>
  </si>
  <si>
    <t>B9</t>
  </si>
  <si>
    <t>B10</t>
  </si>
  <si>
    <t>GRUPO B</t>
  </si>
  <si>
    <t>Repouso Semanal Remunerado</t>
  </si>
  <si>
    <t>Feriados</t>
  </si>
  <si>
    <t>Auxílio Enfermidade</t>
  </si>
  <si>
    <t>13º Salário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</si>
  <si>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</si>
  <si>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</si>
  <si>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</si>
  <si>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</si>
  <si>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</si>
  <si>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</si>
  <si>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Total de Encargos Sociais que recebem incidências de A</t>
  </si>
  <si>
    <t>GRUPO C</t>
  </si>
  <si>
    <t>C4</t>
  </si>
  <si>
    <t>C5</t>
  </si>
  <si>
    <t>Total de Encargos Sociais que não recebem incidências de A</t>
  </si>
  <si>
    <t>Aviso Prévio Indenizado</t>
  </si>
  <si>
    <t xml:space="preserve">Aviso Prévio Trabalhado </t>
  </si>
  <si>
    <t>Férias Indenizadas</t>
  </si>
  <si>
    <t>Depósito Recisão Sem Justa Causa</t>
  </si>
  <si>
    <t>Indenização Adicional</t>
  </si>
  <si>
    <t>GRUPO D</t>
  </si>
  <si>
    <t>Reincidência de Grupo A sobre Grupo B</t>
  </si>
  <si>
    <t>Reincidência de Grupo A sobre Aviso Prévio Trabalhado e Reincidência do FGTS sobre Aviso Prévio Indenizado</t>
  </si>
  <si>
    <t>Total de Reincidências de um grupo sobre o outro</t>
  </si>
  <si>
    <t>T O T A L (A+B+C+D)</t>
  </si>
  <si>
    <t>CÓD.</t>
  </si>
  <si>
    <t xml:space="preserve"> ENCARGOS SOCIAIS SOBRE A MÃO DE OBRA (SEM DESONERAÇÃO)</t>
  </si>
</sst>
</file>

<file path=xl/styles.xml><?xml version="1.0" encoding="utf-8"?>
<styleSheet xmlns="http://schemas.openxmlformats.org/spreadsheetml/2006/main">
  <numFmts count="18">
    <numFmt numFmtId="164" formatCode="_(* #,##0.00_);_(* \(#,##0.00\);_(* &quot;-&quot;??_);_(@_)"/>
    <numFmt numFmtId="165" formatCode="_(&quot;R$ &quot;* #,##0_);_(&quot;R$ &quot;* \(#,##0\);_(&quot;R$ &quot;* \-_);_(@_)"/>
    <numFmt numFmtId="166" formatCode="#,##0.000000"/>
    <numFmt numFmtId="167" formatCode="_-&quot;R$ &quot;* #,##0.00_-;&quot;-R$ &quot;* #,##0.00_-;_-&quot;R$ &quot;* \-??_-;_-@_-"/>
    <numFmt numFmtId="168" formatCode="0.000"/>
    <numFmt numFmtId="169" formatCode="#,##0.00000"/>
    <numFmt numFmtId="170" formatCode="_-* #,##0.00_-;\-* #,##0.00_-;_-* \-??_-;_-@_-"/>
    <numFmt numFmtId="171" formatCode="_(* #,##0.00_);_(* \(#,##0.00\);_(* \-??_);_(@_)"/>
    <numFmt numFmtId="172" formatCode="_(&quot;R$ &quot;* #,##0.00_);_(&quot;R$ &quot;* \(#,##0.00\);_(&quot;R$ &quot;* \-??_);_(@_)"/>
    <numFmt numFmtId="173" formatCode="#,###.00"/>
    <numFmt numFmtId="174" formatCode="0.0000"/>
    <numFmt numFmtId="175" formatCode="0.00000"/>
    <numFmt numFmtId="176" formatCode="#,##0.0000"/>
    <numFmt numFmtId="177" formatCode="0.0000000"/>
    <numFmt numFmtId="178" formatCode="#,##0.00\ ;&quot; (&quot;#,##0.00\);&quot; -&quot;#\ ;@\ "/>
    <numFmt numFmtId="179" formatCode="&quot;R$ &quot;#,##0.00"/>
    <numFmt numFmtId="180" formatCode="_(* #,##0.0000_);_(* \(#,##0.0000\);_(* &quot;-&quot;??_);_(@_)"/>
    <numFmt numFmtId="181" formatCode="#,##0.0"/>
  </numFmts>
  <fonts count="40">
    <font>
      <sz val="10"/>
      <name val="Arial"/>
      <family val="2"/>
    </font>
    <font>
      <sz val="10"/>
      <name val="Courier New"/>
      <family val="3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 Narrow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i/>
      <sz val="12"/>
      <color indexed="48"/>
      <name val="Times New Roman"/>
      <family val="1"/>
    </font>
    <font>
      <b/>
      <i/>
      <sz val="12"/>
      <color indexed="56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2"/>
      <name val="Times New Roman"/>
      <family val="1"/>
      <charset val="1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i/>
      <sz val="10"/>
      <name val="Times New Roman"/>
      <family val="1"/>
      <charset val="1"/>
    </font>
    <font>
      <b/>
      <i/>
      <sz val="10"/>
      <name val="Times New Roman"/>
      <family val="1"/>
    </font>
    <font>
      <sz val="16"/>
      <name val="Times New Roman"/>
      <family val="1"/>
    </font>
    <font>
      <sz val="12"/>
      <name val="Arial"/>
      <family val="2"/>
    </font>
    <font>
      <b/>
      <sz val="16"/>
      <color indexed="8"/>
      <name val="Calibri"/>
      <family val="2"/>
    </font>
    <font>
      <sz val="16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5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4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rgb="FF80808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E6FF00"/>
      </patternFill>
    </fill>
    <fill>
      <patternFill patternType="solid">
        <fgColor rgb="FFFFFF00"/>
        <bgColor indexed="64"/>
      </patternFill>
    </fill>
  </fills>
  <borders count="160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9">
    <xf numFmtId="0" fontId="0" fillId="0" borderId="0"/>
    <xf numFmtId="165" fontId="22" fillId="0" borderId="0" applyFill="0" applyBorder="0" applyAlignment="0" applyProtection="0"/>
    <xf numFmtId="166" fontId="22" fillId="0" borderId="0" applyFill="0" applyBorder="0" applyAlignment="0" applyProtection="0"/>
    <xf numFmtId="0" fontId="1" fillId="0" borderId="0"/>
    <xf numFmtId="172" fontId="22" fillId="0" borderId="0" applyFill="0" applyBorder="0" applyAlignment="0" applyProtection="0"/>
    <xf numFmtId="167" fontId="22" fillId="0" borderId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3" fontId="22" fillId="0" borderId="0"/>
    <xf numFmtId="3" fontId="22" fillId="0" borderId="0"/>
    <xf numFmtId="0" fontId="22" fillId="0" borderId="0"/>
    <xf numFmtId="9" fontId="22" fillId="0" borderId="0" applyFill="0" applyBorder="0" applyAlignment="0" applyProtection="0"/>
    <xf numFmtId="171" fontId="22" fillId="0" borderId="0" applyFill="0" applyBorder="0" applyAlignment="0" applyProtection="0"/>
    <xf numFmtId="168" fontId="22" fillId="0" borderId="0" applyFill="0" applyBorder="0" applyAlignment="0" applyProtection="0"/>
    <xf numFmtId="168" fontId="22" fillId="0" borderId="0" applyFill="0" applyBorder="0" applyAlignment="0" applyProtection="0"/>
    <xf numFmtId="169" fontId="22" fillId="0" borderId="0" applyFill="0" applyBorder="0" applyAlignment="0" applyProtection="0"/>
    <xf numFmtId="169" fontId="22" fillId="0" borderId="0" applyFill="0" applyBorder="0" applyAlignment="0" applyProtection="0"/>
    <xf numFmtId="169" fontId="22" fillId="0" borderId="0" applyFill="0" applyBorder="0" applyAlignment="0" applyProtection="0"/>
    <xf numFmtId="169" fontId="22" fillId="0" borderId="0" applyFill="0" applyBorder="0" applyAlignment="0" applyProtection="0"/>
    <xf numFmtId="169" fontId="22" fillId="0" borderId="0" applyFill="0" applyBorder="0" applyAlignment="0" applyProtection="0"/>
    <xf numFmtId="169" fontId="22" fillId="0" borderId="0" applyFill="0" applyBorder="0" applyAlignment="0" applyProtection="0"/>
    <xf numFmtId="170" fontId="22" fillId="0" borderId="0" applyFill="0" applyBorder="0" applyAlignment="0" applyProtection="0"/>
    <xf numFmtId="3" fontId="3" fillId="0" borderId="1" applyFill="0" applyAlignment="0" applyProtection="0"/>
  </cellStyleXfs>
  <cellXfs count="742">
    <xf numFmtId="0" fontId="0" fillId="0" borderId="0" xfId="0"/>
    <xf numFmtId="2" fontId="6" fillId="2" borderId="2" xfId="21" applyNumberFormat="1" applyFont="1" applyFill="1" applyBorder="1" applyAlignment="1" applyProtection="1">
      <alignment horizontal="center" vertical="center"/>
    </xf>
    <xf numFmtId="171" fontId="0" fillId="0" borderId="0" xfId="0" applyNumberFormat="1"/>
    <xf numFmtId="0" fontId="8" fillId="0" borderId="0" xfId="7" applyFont="1" applyFill="1" applyAlignment="1">
      <alignment horizontal="center" vertical="center"/>
    </xf>
    <xf numFmtId="0" fontId="8" fillId="0" borderId="0" xfId="7" applyFont="1" applyFill="1" applyAlignment="1">
      <alignment vertical="center" wrapText="1"/>
    </xf>
    <xf numFmtId="2" fontId="8" fillId="0" borderId="0" xfId="22" applyNumberFormat="1" applyFont="1" applyFill="1" applyBorder="1" applyAlignment="1" applyProtection="1">
      <alignment horizontal="center" vertical="center"/>
    </xf>
    <xf numFmtId="4" fontId="8" fillId="0" borderId="0" xfId="22" applyNumberFormat="1" applyFont="1" applyFill="1" applyBorder="1" applyAlignment="1" applyProtection="1">
      <alignment horizontal="right" vertical="center"/>
    </xf>
    <xf numFmtId="0" fontId="8" fillId="0" borderId="0" xfId="7" applyFont="1" applyFill="1" applyBorder="1" applyAlignment="1">
      <alignment vertical="center"/>
    </xf>
    <xf numFmtId="172" fontId="9" fillId="2" borderId="0" xfId="4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>
      <alignment horizontal="center"/>
    </xf>
    <xf numFmtId="4" fontId="0" fillId="0" borderId="2" xfId="7" applyNumberFormat="1" applyFont="1" applyFill="1" applyBorder="1" applyAlignment="1">
      <alignment horizontal="right" vertical="center"/>
    </xf>
    <xf numFmtId="4" fontId="0" fillId="2" borderId="2" xfId="7" applyNumberFormat="1" applyFont="1" applyFill="1" applyBorder="1" applyAlignment="1">
      <alignment vertical="center"/>
    </xf>
    <xf numFmtId="4" fontId="0" fillId="0" borderId="2" xfId="7" applyNumberFormat="1" applyFont="1" applyFill="1" applyBorder="1" applyAlignment="1">
      <alignment vertical="center"/>
    </xf>
    <xf numFmtId="3" fontId="22" fillId="0" borderId="0" xfId="15"/>
    <xf numFmtId="3" fontId="0" fillId="0" borderId="0" xfId="15" applyFont="1"/>
    <xf numFmtId="2" fontId="22" fillId="0" borderId="0" xfId="15" applyNumberFormat="1"/>
    <xf numFmtId="2" fontId="0" fillId="0" borderId="0" xfId="15" applyNumberFormat="1" applyFont="1" applyAlignment="1">
      <alignment horizontal="center"/>
    </xf>
    <xf numFmtId="4" fontId="2" fillId="0" borderId="0" xfId="13" applyNumberFormat="1" applyFont="1" applyAlignment="1">
      <alignment horizontal="center"/>
    </xf>
    <xf numFmtId="4" fontId="2" fillId="0" borderId="0" xfId="13" applyNumberFormat="1" applyFont="1" applyAlignment="1">
      <alignment horizontal="left"/>
    </xf>
    <xf numFmtId="4" fontId="2" fillId="0" borderId="0" xfId="13" applyNumberFormat="1" applyFont="1" applyAlignment="1">
      <alignment horizontal="right"/>
    </xf>
    <xf numFmtId="4" fontId="7" fillId="0" borderId="0" xfId="15" applyNumberFormat="1" applyFont="1" applyBorder="1" applyAlignment="1">
      <alignment horizontal="left"/>
    </xf>
    <xf numFmtId="4" fontId="13" fillId="0" borderId="0" xfId="7" applyNumberFormat="1" applyFont="1" applyFill="1" applyBorder="1" applyAlignment="1">
      <alignment horizontal="left" vertical="center"/>
    </xf>
    <xf numFmtId="0" fontId="0" fillId="0" borderId="0" xfId="0" applyAlignment="1">
      <alignment wrapText="1"/>
    </xf>
    <xf numFmtId="174" fontId="0" fillId="0" borderId="0" xfId="0" applyNumberFormat="1"/>
    <xf numFmtId="171" fontId="0" fillId="0" borderId="0" xfId="18" applyFont="1" applyFill="1" applyBorder="1" applyAlignment="1" applyProtection="1"/>
    <xf numFmtId="3" fontId="5" fillId="2" borderId="5" xfId="14" applyFont="1" applyFill="1" applyBorder="1" applyAlignment="1">
      <alignment horizontal="left" vertical="center"/>
    </xf>
    <xf numFmtId="3" fontId="5" fillId="2" borderId="2" xfId="14" applyFont="1" applyFill="1" applyBorder="1" applyAlignment="1">
      <alignment horizontal="center"/>
    </xf>
    <xf numFmtId="175" fontId="5" fillId="2" borderId="2" xfId="14" applyNumberFormat="1" applyFont="1" applyFill="1" applyBorder="1" applyAlignment="1">
      <alignment horizontal="right"/>
    </xf>
    <xf numFmtId="175" fontId="5" fillId="2" borderId="2" xfId="14" applyNumberFormat="1" applyFont="1" applyFill="1" applyBorder="1" applyAlignment="1">
      <alignment horizontal="center"/>
    </xf>
    <xf numFmtId="2" fontId="5" fillId="2" borderId="2" xfId="14" applyNumberFormat="1" applyFont="1" applyFill="1" applyBorder="1" applyAlignment="1">
      <alignment horizontal="center"/>
    </xf>
    <xf numFmtId="3" fontId="5" fillId="2" borderId="4" xfId="14" applyFont="1" applyFill="1" applyBorder="1" applyAlignment="1">
      <alignment horizontal="center"/>
    </xf>
    <xf numFmtId="168" fontId="5" fillId="2" borderId="4" xfId="14" applyNumberFormat="1" applyFont="1" applyFill="1" applyBorder="1" applyAlignment="1">
      <alignment horizontal="right"/>
    </xf>
    <xf numFmtId="174" fontId="5" fillId="2" borderId="2" xfId="14" applyNumberFormat="1" applyFont="1" applyFill="1" applyBorder="1" applyAlignment="1">
      <alignment horizontal="center"/>
    </xf>
    <xf numFmtId="0" fontId="0" fillId="0" borderId="0" xfId="0" applyFont="1"/>
    <xf numFmtId="2" fontId="5" fillId="2" borderId="2" xfId="14" applyNumberFormat="1" applyFont="1" applyFill="1" applyBorder="1" applyAlignment="1">
      <alignment horizontal="right"/>
    </xf>
    <xf numFmtId="4" fontId="5" fillId="2" borderId="2" xfId="14" applyNumberFormat="1" applyFont="1" applyFill="1" applyBorder="1" applyAlignment="1">
      <alignment horizontal="center"/>
    </xf>
    <xf numFmtId="176" fontId="5" fillId="2" borderId="2" xfId="14" applyNumberFormat="1" applyFont="1" applyFill="1" applyBorder="1" applyAlignment="1">
      <alignment horizontal="right" vertical="center"/>
    </xf>
    <xf numFmtId="174" fontId="5" fillId="2" borderId="2" xfId="14" applyNumberFormat="1" applyFont="1" applyFill="1" applyBorder="1" applyAlignment="1">
      <alignment horizontal="right"/>
    </xf>
    <xf numFmtId="2" fontId="5" fillId="2" borderId="6" xfId="0" applyNumberFormat="1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/>
    </xf>
    <xf numFmtId="175" fontId="5" fillId="2" borderId="2" xfId="0" applyNumberFormat="1" applyFont="1" applyFill="1" applyBorder="1" applyAlignment="1">
      <alignment horizontal="right"/>
    </xf>
    <xf numFmtId="174" fontId="5" fillId="2" borderId="2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75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75" fontId="5" fillId="0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right" vertical="center"/>
    </xf>
    <xf numFmtId="175" fontId="5" fillId="2" borderId="2" xfId="0" applyNumberFormat="1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center"/>
    </xf>
    <xf numFmtId="174" fontId="5" fillId="2" borderId="2" xfId="0" applyNumberFormat="1" applyFont="1" applyFill="1" applyBorder="1" applyAlignment="1">
      <alignment horizontal="right"/>
    </xf>
    <xf numFmtId="174" fontId="5" fillId="2" borderId="7" xfId="0" applyNumberFormat="1" applyFont="1" applyFill="1" applyBorder="1" applyAlignment="1">
      <alignment horizontal="right"/>
    </xf>
    <xf numFmtId="0" fontId="20" fillId="0" borderId="2" xfId="0" applyFont="1" applyFill="1" applyBorder="1" applyAlignment="1">
      <alignment horizontal="center"/>
    </xf>
    <xf numFmtId="175" fontId="20" fillId="0" borderId="2" xfId="0" applyNumberFormat="1" applyFont="1" applyFill="1" applyBorder="1" applyAlignment="1">
      <alignment horizontal="right"/>
    </xf>
    <xf numFmtId="175" fontId="20" fillId="0" borderId="2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17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right" vertical="center"/>
    </xf>
    <xf numFmtId="0" fontId="6" fillId="0" borderId="0" xfId="0" applyFont="1"/>
    <xf numFmtId="0" fontId="6" fillId="5" borderId="10" xfId="0" applyFont="1" applyFill="1" applyBorder="1" applyAlignment="1">
      <alignment horizontal="center"/>
    </xf>
    <xf numFmtId="0" fontId="0" fillId="0" borderId="8" xfId="0" applyBorder="1"/>
    <xf numFmtId="0" fontId="6" fillId="0" borderId="8" xfId="0" applyFont="1" applyBorder="1"/>
    <xf numFmtId="171" fontId="0" fillId="0" borderId="8" xfId="18" applyFont="1" applyFill="1" applyBorder="1" applyAlignment="1" applyProtection="1"/>
    <xf numFmtId="171" fontId="6" fillId="0" borderId="8" xfId="18" applyFont="1" applyFill="1" applyBorder="1" applyAlignment="1" applyProtection="1"/>
    <xf numFmtId="171" fontId="0" fillId="0" borderId="8" xfId="18" applyFont="1" applyFill="1" applyBorder="1" applyAlignment="1" applyProtection="1">
      <alignment horizontal="right"/>
    </xf>
    <xf numFmtId="0" fontId="0" fillId="0" borderId="10" xfId="0" applyBorder="1"/>
    <xf numFmtId="171" fontId="0" fillId="0" borderId="10" xfId="18" applyFont="1" applyFill="1" applyBorder="1" applyAlignment="1" applyProtection="1"/>
    <xf numFmtId="171" fontId="6" fillId="0" borderId="0" xfId="0" applyNumberFormat="1" applyFont="1"/>
    <xf numFmtId="171" fontId="6" fillId="0" borderId="0" xfId="18" applyFont="1" applyFill="1" applyBorder="1" applyAlignment="1" applyProtection="1"/>
    <xf numFmtId="0" fontId="6" fillId="0" borderId="0" xfId="0" applyFont="1" applyFill="1" applyBorder="1" applyAlignment="1">
      <alignment horizontal="center"/>
    </xf>
    <xf numFmtId="0" fontId="21" fillId="0" borderId="0" xfId="13" applyFont="1" applyFill="1" applyAlignment="1">
      <alignment wrapText="1"/>
    </xf>
    <xf numFmtId="0" fontId="21" fillId="0" borderId="0" xfId="13" applyFont="1" applyFill="1" applyAlignment="1">
      <alignment horizontal="center"/>
    </xf>
    <xf numFmtId="0" fontId="21" fillId="0" borderId="0" xfId="13" applyFont="1" applyFill="1"/>
    <xf numFmtId="0" fontId="16" fillId="0" borderId="2" xfId="13" applyFont="1" applyFill="1" applyBorder="1" applyAlignment="1">
      <alignment horizontal="center" vertical="center" wrapText="1"/>
    </xf>
    <xf numFmtId="171" fontId="21" fillId="0" borderId="0" xfId="27" applyNumberFormat="1" applyFont="1" applyFill="1" applyBorder="1" applyAlignment="1" applyProtection="1">
      <alignment vertical="center"/>
    </xf>
    <xf numFmtId="0" fontId="21" fillId="0" borderId="2" xfId="13" applyFont="1" applyFill="1" applyBorder="1" applyAlignment="1">
      <alignment horizontal="center" vertical="center"/>
    </xf>
    <xf numFmtId="172" fontId="21" fillId="0" borderId="2" xfId="4" applyFont="1" applyFill="1" applyBorder="1" applyAlignment="1" applyProtection="1">
      <alignment horizontal="center" vertical="center"/>
    </xf>
    <xf numFmtId="0" fontId="21" fillId="0" borderId="0" xfId="13" applyFont="1" applyFill="1" applyAlignment="1">
      <alignment vertical="center"/>
    </xf>
    <xf numFmtId="3" fontId="21" fillId="0" borderId="2" xfId="14" applyFont="1" applyFill="1" applyBorder="1" applyAlignment="1">
      <alignment horizontal="center" vertical="center"/>
    </xf>
    <xf numFmtId="0" fontId="21" fillId="0" borderId="2" xfId="13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4" fontId="2" fillId="0" borderId="0" xfId="13" applyNumberFormat="1" applyFont="1" applyFill="1" applyBorder="1" applyAlignment="1">
      <alignment horizontal="left"/>
    </xf>
    <xf numFmtId="0" fontId="22" fillId="0" borderId="0" xfId="16"/>
    <xf numFmtId="178" fontId="22" fillId="0" borderId="0" xfId="16" applyNumberFormat="1"/>
    <xf numFmtId="0" fontId="22" fillId="0" borderId="0" xfId="16" applyNumberFormat="1"/>
    <xf numFmtId="4" fontId="13" fillId="0" borderId="28" xfId="7" applyNumberFormat="1" applyFont="1" applyFill="1" applyBorder="1" applyAlignment="1">
      <alignment vertical="center"/>
    </xf>
    <xf numFmtId="4" fontId="13" fillId="0" borderId="29" xfId="7" applyNumberFormat="1" applyFont="1" applyFill="1" applyBorder="1" applyAlignment="1">
      <alignment vertical="center"/>
    </xf>
    <xf numFmtId="4" fontId="13" fillId="0" borderId="30" xfId="7" applyNumberFormat="1" applyFont="1" applyFill="1" applyBorder="1" applyAlignment="1">
      <alignment vertical="center"/>
    </xf>
    <xf numFmtId="0" fontId="22" fillId="0" borderId="0" xfId="16" applyBorder="1"/>
    <xf numFmtId="4" fontId="13" fillId="0" borderId="0" xfId="7" applyNumberFormat="1" applyFont="1" applyFill="1" applyBorder="1" applyAlignment="1">
      <alignment vertical="center"/>
    </xf>
    <xf numFmtId="0" fontId="6" fillId="0" borderId="0" xfId="7" applyFont="1" applyFill="1" applyBorder="1" applyAlignment="1">
      <alignment vertical="center" wrapText="1"/>
    </xf>
    <xf numFmtId="0" fontId="9" fillId="0" borderId="0" xfId="7" applyFont="1" applyFill="1" applyBorder="1" applyAlignment="1">
      <alignment vertical="center"/>
    </xf>
    <xf numFmtId="0" fontId="6" fillId="0" borderId="26" xfId="16" applyFont="1" applyBorder="1" applyAlignment="1">
      <alignment horizontal="center"/>
    </xf>
    <xf numFmtId="0" fontId="22" fillId="0" borderId="26" xfId="16" applyFont="1" applyBorder="1" applyAlignment="1">
      <alignment horizontal="center"/>
    </xf>
    <xf numFmtId="178" fontId="6" fillId="0" borderId="35" xfId="16" applyNumberFormat="1" applyFont="1" applyBorder="1"/>
    <xf numFmtId="0" fontId="8" fillId="0" borderId="0" xfId="7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8" xfId="0" applyFont="1" applyFill="1" applyBorder="1" applyAlignment="1">
      <alignment horizontal="center"/>
    </xf>
    <xf numFmtId="173" fontId="8" fillId="0" borderId="0" xfId="7" applyNumberFormat="1" applyFont="1" applyFill="1" applyBorder="1" applyAlignment="1">
      <alignment horizontal="center" vertical="center"/>
    </xf>
    <xf numFmtId="3" fontId="5" fillId="2" borderId="41" xfId="14" applyFont="1" applyFill="1" applyBorder="1" applyAlignment="1">
      <alignment horizontal="left" vertical="center"/>
    </xf>
    <xf numFmtId="3" fontId="5" fillId="2" borderId="17" xfId="14" applyFont="1" applyFill="1" applyBorder="1" applyAlignment="1">
      <alignment horizontal="center" wrapText="1"/>
    </xf>
    <xf numFmtId="3" fontId="5" fillId="2" borderId="16" xfId="14" applyFont="1" applyFill="1" applyBorder="1" applyAlignment="1">
      <alignment horizontal="center"/>
    </xf>
    <xf numFmtId="171" fontId="5" fillId="0" borderId="15" xfId="14" applyNumberFormat="1" applyFont="1" applyBorder="1" applyAlignment="1">
      <alignment horizontal="left" vertical="center" wrapText="1"/>
    </xf>
    <xf numFmtId="4" fontId="5" fillId="0" borderId="16" xfId="14" applyNumberFormat="1" applyFont="1" applyFill="1" applyBorder="1" applyAlignment="1"/>
    <xf numFmtId="4" fontId="5" fillId="2" borderId="42" xfId="14" applyNumberFormat="1" applyFont="1" applyFill="1" applyBorder="1" applyAlignment="1"/>
    <xf numFmtId="3" fontId="5" fillId="2" borderId="17" xfId="14" applyFont="1" applyFill="1" applyBorder="1" applyAlignment="1">
      <alignment horizontal="left" wrapText="1"/>
    </xf>
    <xf numFmtId="4" fontId="5" fillId="2" borderId="16" xfId="14" applyNumberFormat="1" applyFont="1" applyFill="1" applyBorder="1" applyAlignment="1"/>
    <xf numFmtId="3" fontId="5" fillId="2" borderId="36" xfId="14" applyFont="1" applyFill="1" applyBorder="1" applyAlignment="1">
      <alignment horizontal="right" vertical="center" wrapText="1"/>
    </xf>
    <xf numFmtId="4" fontId="5" fillId="2" borderId="16" xfId="14" applyNumberFormat="1" applyFont="1" applyFill="1" applyBorder="1" applyAlignment="1">
      <alignment vertical="center"/>
    </xf>
    <xf numFmtId="2" fontId="5" fillId="2" borderId="17" xfId="0" applyNumberFormat="1" applyFont="1" applyFill="1" applyBorder="1" applyAlignment="1">
      <alignment vertical="center" wrapText="1"/>
    </xf>
    <xf numFmtId="0" fontId="0" fillId="0" borderId="36" xfId="0" applyBorder="1" applyAlignment="1">
      <alignment wrapText="1"/>
    </xf>
    <xf numFmtId="0" fontId="18" fillId="4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wrapText="1"/>
    </xf>
    <xf numFmtId="174" fontId="5" fillId="2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horizontal="left" wrapText="1"/>
    </xf>
    <xf numFmtId="0" fontId="20" fillId="0" borderId="17" xfId="0" applyFont="1" applyFill="1" applyBorder="1" applyAlignment="1">
      <alignment horizontal="center" wrapText="1"/>
    </xf>
    <xf numFmtId="174" fontId="20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wrapText="1"/>
    </xf>
    <xf numFmtId="174" fontId="5" fillId="0" borderId="16" xfId="0" applyNumberFormat="1" applyFont="1" applyFill="1" applyBorder="1" applyAlignment="1">
      <alignment horizontal="center"/>
    </xf>
    <xf numFmtId="0" fontId="5" fillId="0" borderId="36" xfId="0" applyFont="1" applyFill="1" applyBorder="1" applyAlignment="1">
      <alignment horizontal="right" vertical="center" wrapText="1"/>
    </xf>
    <xf numFmtId="0" fontId="18" fillId="4" borderId="4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wrapText="1"/>
    </xf>
    <xf numFmtId="2" fontId="5" fillId="0" borderId="16" xfId="0" applyNumberFormat="1" applyFont="1" applyFill="1" applyBorder="1" applyAlignment="1"/>
    <xf numFmtId="2" fontId="5" fillId="2" borderId="42" xfId="0" applyNumberFormat="1" applyFont="1" applyFill="1" applyBorder="1" applyAlignment="1"/>
    <xf numFmtId="2" fontId="5" fillId="2" borderId="16" xfId="0" applyNumberFormat="1" applyFont="1" applyFill="1" applyBorder="1" applyAlignment="1">
      <alignment vertical="center"/>
    </xf>
    <xf numFmtId="2" fontId="5" fillId="2" borderId="16" xfId="0" applyNumberFormat="1" applyFont="1" applyFill="1" applyBorder="1" applyAlignment="1"/>
    <xf numFmtId="2" fontId="5" fillId="0" borderId="16" xfId="0" applyNumberFormat="1" applyFont="1" applyFill="1" applyBorder="1" applyAlignment="1">
      <alignment horizontal="right"/>
    </xf>
    <xf numFmtId="2" fontId="5" fillId="0" borderId="42" xfId="0" applyNumberFormat="1" applyFont="1" applyFill="1" applyBorder="1" applyAlignment="1"/>
    <xf numFmtId="2" fontId="5" fillId="2" borderId="43" xfId="0" applyNumberFormat="1" applyFont="1" applyFill="1" applyBorder="1" applyAlignment="1">
      <alignment vertical="center" wrapText="1"/>
    </xf>
    <xf numFmtId="2" fontId="5" fillId="2" borderId="47" xfId="0" applyNumberFormat="1" applyFont="1" applyFill="1" applyBorder="1" applyAlignment="1">
      <alignment vertical="center"/>
    </xf>
    <xf numFmtId="2" fontId="5" fillId="2" borderId="48" xfId="0" applyNumberFormat="1" applyFont="1" applyFill="1" applyBorder="1" applyAlignment="1">
      <alignment vertical="center"/>
    </xf>
    <xf numFmtId="4" fontId="8" fillId="0" borderId="0" xfId="7" applyNumberFormat="1" applyFont="1" applyFill="1" applyBorder="1" applyAlignment="1">
      <alignment vertical="center"/>
    </xf>
    <xf numFmtId="0" fontId="0" fillId="5" borderId="49" xfId="0" applyFont="1" applyFill="1" applyBorder="1" applyAlignment="1">
      <alignment horizontal="center"/>
    </xf>
    <xf numFmtId="0" fontId="6" fillId="5" borderId="51" xfId="0" applyFont="1" applyFill="1" applyBorder="1" applyAlignment="1">
      <alignment horizontal="center"/>
    </xf>
    <xf numFmtId="0" fontId="0" fillId="0" borderId="52" xfId="0" applyBorder="1"/>
    <xf numFmtId="0" fontId="0" fillId="0" borderId="46" xfId="0" applyBorder="1"/>
    <xf numFmtId="0" fontId="6" fillId="0" borderId="52" xfId="0" applyFont="1" applyBorder="1" applyAlignment="1">
      <alignment horizontal="center"/>
    </xf>
    <xf numFmtId="171" fontId="6" fillId="0" borderId="46" xfId="18" applyFont="1" applyFill="1" applyBorder="1" applyAlignment="1" applyProtection="1"/>
    <xf numFmtId="171" fontId="0" fillId="0" borderId="46" xfId="18" applyFont="1" applyFill="1" applyBorder="1" applyAlignment="1" applyProtection="1"/>
    <xf numFmtId="0" fontId="0" fillId="0" borderId="53" xfId="0" applyBorder="1"/>
    <xf numFmtId="171" fontId="0" fillId="0" borderId="51" xfId="18" applyFont="1" applyFill="1" applyBorder="1" applyAlignment="1" applyProtection="1"/>
    <xf numFmtId="0" fontId="0" fillId="0" borderId="54" xfId="0" applyBorder="1"/>
    <xf numFmtId="0" fontId="0" fillId="0" borderId="55" xfId="0" applyBorder="1"/>
    <xf numFmtId="180" fontId="0" fillId="0" borderId="0" xfId="0" applyNumberFormat="1"/>
    <xf numFmtId="10" fontId="5" fillId="2" borderId="6" xfId="0" applyNumberFormat="1" applyFont="1" applyFill="1" applyBorder="1" applyAlignment="1">
      <alignment vertical="center"/>
    </xf>
    <xf numFmtId="0" fontId="22" fillId="0" borderId="0" xfId="0" applyFont="1" applyBorder="1"/>
    <xf numFmtId="0" fontId="6" fillId="0" borderId="57" xfId="0" applyFont="1" applyBorder="1"/>
    <xf numFmtId="0" fontId="22" fillId="0" borderId="57" xfId="0" applyFont="1" applyBorder="1"/>
    <xf numFmtId="0" fontId="22" fillId="0" borderId="57" xfId="0" applyFont="1" applyBorder="1" applyAlignment="1">
      <alignment horizontal="left"/>
    </xf>
    <xf numFmtId="0" fontId="5" fillId="0" borderId="57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/>
    <xf numFmtId="0" fontId="22" fillId="0" borderId="60" xfId="0" applyFont="1" applyBorder="1"/>
    <xf numFmtId="0" fontId="22" fillId="0" borderId="25" xfId="0" applyFont="1" applyBorder="1"/>
    <xf numFmtId="0" fontId="6" fillId="0" borderId="36" xfId="0" applyFont="1" applyBorder="1" applyAlignment="1">
      <alignment horizontal="center"/>
    </xf>
    <xf numFmtId="0" fontId="22" fillId="0" borderId="61" xfId="0" applyFont="1" applyBorder="1" applyAlignment="1">
      <alignment horizontal="right"/>
    </xf>
    <xf numFmtId="0" fontId="22" fillId="0" borderId="36" xfId="0" applyFont="1" applyBorder="1" applyAlignment="1">
      <alignment horizontal="center"/>
    </xf>
    <xf numFmtId="171" fontId="22" fillId="0" borderId="61" xfId="18" applyFont="1" applyBorder="1" applyAlignment="1">
      <alignment horizontal="right"/>
    </xf>
    <xf numFmtId="9" fontId="22" fillId="0" borderId="61" xfId="0" applyNumberFormat="1" applyFont="1" applyBorder="1" applyAlignment="1">
      <alignment horizontal="right"/>
    </xf>
    <xf numFmtId="164" fontId="22" fillId="0" borderId="61" xfId="0" applyNumberFormat="1" applyFont="1" applyBorder="1" applyAlignment="1">
      <alignment horizontal="right"/>
    </xf>
    <xf numFmtId="3" fontId="22" fillId="0" borderId="61" xfId="0" applyNumberFormat="1" applyFont="1" applyBorder="1" applyAlignment="1">
      <alignment horizontal="right"/>
    </xf>
    <xf numFmtId="4" fontId="22" fillId="0" borderId="61" xfId="0" applyNumberFormat="1" applyFont="1" applyBorder="1" applyAlignment="1">
      <alignment horizontal="right"/>
    </xf>
    <xf numFmtId="181" fontId="22" fillId="0" borderId="61" xfId="0" applyNumberFormat="1" applyFont="1" applyBorder="1" applyAlignment="1">
      <alignment horizontal="right"/>
    </xf>
    <xf numFmtId="3" fontId="22" fillId="0" borderId="61" xfId="0" applyNumberFormat="1" applyFont="1" applyBorder="1" applyAlignment="1"/>
    <xf numFmtId="171" fontId="22" fillId="0" borderId="61" xfId="18" applyFont="1" applyBorder="1" applyAlignment="1"/>
    <xf numFmtId="164" fontId="22" fillId="0" borderId="61" xfId="0" applyNumberFormat="1" applyFont="1" applyBorder="1" applyAlignment="1"/>
    <xf numFmtId="164" fontId="6" fillId="0" borderId="61" xfId="0" applyNumberFormat="1" applyFont="1" applyBorder="1" applyAlignment="1"/>
    <xf numFmtId="0" fontId="22" fillId="0" borderId="31" xfId="0" applyFont="1" applyBorder="1" applyAlignment="1">
      <alignment horizontal="center"/>
    </xf>
    <xf numFmtId="0" fontId="22" fillId="0" borderId="62" xfId="0" applyFont="1" applyBorder="1"/>
    <xf numFmtId="0" fontId="22" fillId="0" borderId="63" xfId="0" applyFont="1" applyBorder="1"/>
    <xf numFmtId="164" fontId="6" fillId="0" borderId="32" xfId="0" applyNumberFormat="1" applyFont="1" applyBorder="1" applyAlignment="1"/>
    <xf numFmtId="171" fontId="6" fillId="0" borderId="0" xfId="18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79" fontId="0" fillId="0" borderId="0" xfId="0" applyNumberFormat="1"/>
    <xf numFmtId="49" fontId="22" fillId="0" borderId="0" xfId="18" applyNumberFormat="1" applyFont="1" applyFill="1" applyBorder="1" applyAlignment="1" applyProtection="1"/>
    <xf numFmtId="49" fontId="22" fillId="0" borderId="0" xfId="0" applyNumberFormat="1" applyFont="1"/>
    <xf numFmtId="175" fontId="5" fillId="2" borderId="13" xfId="14" applyNumberFormat="1" applyFont="1" applyFill="1" applyBorder="1" applyAlignment="1">
      <alignment horizontal="right"/>
    </xf>
    <xf numFmtId="49" fontId="7" fillId="6" borderId="3" xfId="27" applyNumberFormat="1" applyFont="1" applyFill="1" applyBorder="1" applyAlignment="1" applyProtection="1">
      <alignment horizontal="left" vertical="center"/>
    </xf>
    <xf numFmtId="3" fontId="5" fillId="2" borderId="13" xfId="14" applyFont="1" applyFill="1" applyBorder="1" applyAlignment="1">
      <alignment horizontal="left" vertical="center"/>
    </xf>
    <xf numFmtId="3" fontId="5" fillId="2" borderId="13" xfId="14" applyFont="1" applyFill="1" applyBorder="1" applyAlignment="1">
      <alignment horizontal="center"/>
    </xf>
    <xf numFmtId="175" fontId="5" fillId="2" borderId="13" xfId="14" applyNumberFormat="1" applyFont="1" applyFill="1" applyBorder="1" applyAlignment="1">
      <alignment horizontal="center"/>
    </xf>
    <xf numFmtId="2" fontId="5" fillId="2" borderId="13" xfId="14" applyNumberFormat="1" applyFont="1" applyFill="1" applyBorder="1" applyAlignment="1">
      <alignment horizontal="center"/>
    </xf>
    <xf numFmtId="168" fontId="5" fillId="2" borderId="13" xfId="14" applyNumberFormat="1" applyFont="1" applyFill="1" applyBorder="1" applyAlignment="1">
      <alignment horizontal="right"/>
    </xf>
    <xf numFmtId="174" fontId="5" fillId="2" borderId="13" xfId="14" applyNumberFormat="1" applyFont="1" applyFill="1" applyBorder="1" applyAlignment="1">
      <alignment horizontal="center"/>
    </xf>
    <xf numFmtId="2" fontId="5" fillId="2" borderId="13" xfId="14" applyNumberFormat="1" applyFont="1" applyFill="1" applyBorder="1" applyAlignment="1">
      <alignment horizontal="right"/>
    </xf>
    <xf numFmtId="4" fontId="5" fillId="0" borderId="13" xfId="14" applyNumberFormat="1" applyFont="1" applyFill="1" applyBorder="1" applyAlignment="1">
      <alignment horizontal="center"/>
    </xf>
    <xf numFmtId="4" fontId="5" fillId="2" borderId="13" xfId="14" applyNumberFormat="1" applyFont="1" applyFill="1" applyBorder="1" applyAlignment="1">
      <alignment horizontal="center"/>
    </xf>
    <xf numFmtId="176" fontId="5" fillId="2" borderId="13" xfId="14" applyNumberFormat="1" applyFont="1" applyFill="1" applyBorder="1" applyAlignment="1">
      <alignment horizontal="right" vertical="center"/>
    </xf>
    <xf numFmtId="174" fontId="5" fillId="2" borderId="13" xfId="14" applyNumberFormat="1" applyFont="1" applyFill="1" applyBorder="1" applyAlignment="1">
      <alignment horizontal="right"/>
    </xf>
    <xf numFmtId="10" fontId="5" fillId="2" borderId="13" xfId="0" applyNumberFormat="1" applyFont="1" applyFill="1" applyBorder="1" applyAlignment="1">
      <alignment vertical="center"/>
    </xf>
    <xf numFmtId="49" fontId="7" fillId="6" borderId="3" xfId="27" applyNumberFormat="1" applyFont="1" applyFill="1" applyBorder="1" applyAlignment="1" applyProtection="1">
      <alignment horizontal="center" vertical="center"/>
    </xf>
    <xf numFmtId="0" fontId="18" fillId="4" borderId="64" xfId="0" applyFont="1" applyFill="1" applyBorder="1" applyAlignment="1">
      <alignment horizontal="center" vertical="center" wrapText="1"/>
    </xf>
    <xf numFmtId="174" fontId="0" fillId="0" borderId="61" xfId="0" applyNumberFormat="1" applyBorder="1"/>
    <xf numFmtId="4" fontId="5" fillId="2" borderId="18" xfId="14" applyNumberFormat="1" applyFont="1" applyFill="1" applyBorder="1" applyAlignment="1"/>
    <xf numFmtId="4" fontId="5" fillId="2" borderId="66" xfId="14" applyNumberFormat="1" applyFont="1" applyFill="1" applyBorder="1" applyAlignment="1">
      <alignment vertical="center"/>
    </xf>
    <xf numFmtId="3" fontId="19" fillId="4" borderId="64" xfId="14" applyFont="1" applyFill="1" applyBorder="1" applyAlignment="1">
      <alignment horizontal="center" vertical="center" wrapText="1"/>
    </xf>
    <xf numFmtId="4" fontId="5" fillId="2" borderId="67" xfId="14" applyNumberFormat="1" applyFont="1" applyFill="1" applyBorder="1" applyAlignment="1">
      <alignment vertical="center"/>
    </xf>
    <xf numFmtId="0" fontId="18" fillId="4" borderId="27" xfId="0" applyFont="1" applyFill="1" applyBorder="1" applyAlignment="1">
      <alignment horizontal="center" vertical="center" wrapText="1"/>
    </xf>
    <xf numFmtId="3" fontId="5" fillId="2" borderId="18" xfId="14" applyFont="1" applyFill="1" applyBorder="1" applyAlignment="1">
      <alignment horizontal="left" vertical="center"/>
    </xf>
    <xf numFmtId="3" fontId="5" fillId="2" borderId="26" xfId="14" applyFont="1" applyFill="1" applyBorder="1" applyAlignment="1">
      <alignment horizontal="center" wrapText="1"/>
    </xf>
    <xf numFmtId="3" fontId="5" fillId="2" borderId="18" xfId="14" applyFont="1" applyFill="1" applyBorder="1" applyAlignment="1">
      <alignment horizontal="center"/>
    </xf>
    <xf numFmtId="171" fontId="5" fillId="0" borderId="26" xfId="14" applyNumberFormat="1" applyFont="1" applyBorder="1" applyAlignment="1">
      <alignment horizontal="left" vertical="center" wrapText="1"/>
    </xf>
    <xf numFmtId="4" fontId="5" fillId="0" borderId="18" xfId="14" applyNumberFormat="1" applyFont="1" applyFill="1" applyBorder="1" applyAlignment="1"/>
    <xf numFmtId="3" fontId="5" fillId="2" borderId="26" xfId="14" applyFont="1" applyFill="1" applyBorder="1" applyAlignment="1">
      <alignment horizontal="left" wrapText="1"/>
    </xf>
    <xf numFmtId="3" fontId="5" fillId="2" borderId="26" xfId="14" applyFont="1" applyFill="1" applyBorder="1" applyAlignment="1">
      <alignment horizontal="right" vertical="center" wrapText="1"/>
    </xf>
    <xf numFmtId="4" fontId="5" fillId="2" borderId="18" xfId="14" applyNumberFormat="1" applyFont="1" applyFill="1" applyBorder="1" applyAlignment="1">
      <alignment vertical="center"/>
    </xf>
    <xf numFmtId="2" fontId="5" fillId="2" borderId="26" xfId="0" applyNumberFormat="1" applyFont="1" applyFill="1" applyBorder="1" applyAlignment="1">
      <alignment vertical="center" wrapText="1"/>
    </xf>
    <xf numFmtId="4" fontId="5" fillId="2" borderId="20" xfId="14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3" xfId="7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13" xfId="7" applyFont="1" applyFill="1" applyBorder="1" applyAlignment="1">
      <alignment horizontal="left" vertical="center" wrapText="1"/>
    </xf>
    <xf numFmtId="0" fontId="0" fillId="0" borderId="13" xfId="7" applyFont="1" applyFill="1" applyBorder="1" applyAlignment="1">
      <alignment horizontal="justify" vertical="top" wrapText="1"/>
    </xf>
    <xf numFmtId="0" fontId="0" fillId="0" borderId="13" xfId="7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3" fontId="0" fillId="4" borderId="65" xfId="0" applyNumberFormat="1" applyFill="1" applyBorder="1" applyAlignment="1">
      <alignment horizontal="center"/>
    </xf>
    <xf numFmtId="49" fontId="7" fillId="6" borderId="0" xfId="27" applyNumberFormat="1" applyFont="1" applyFill="1" applyBorder="1" applyAlignment="1" applyProtection="1">
      <alignment horizontal="center" vertical="center"/>
    </xf>
    <xf numFmtId="49" fontId="21" fillId="0" borderId="0" xfId="13" applyNumberFormat="1" applyFont="1" applyFill="1"/>
    <xf numFmtId="0" fontId="0" fillId="4" borderId="2" xfId="0" applyFill="1" applyBorder="1" applyAlignment="1">
      <alignment horizontal="center"/>
    </xf>
    <xf numFmtId="49" fontId="0" fillId="0" borderId="0" xfId="0" applyNumberFormat="1"/>
    <xf numFmtId="3" fontId="0" fillId="4" borderId="23" xfId="0" applyNumberFormat="1" applyFill="1" applyBorder="1" applyAlignment="1">
      <alignment horizontal="center"/>
    </xf>
    <xf numFmtId="0" fontId="0" fillId="0" borderId="0" xfId="0" applyFont="1" applyBorder="1"/>
    <xf numFmtId="4" fontId="5" fillId="2" borderId="13" xfId="14" applyNumberFormat="1" applyFont="1" applyFill="1" applyBorder="1" applyAlignment="1">
      <alignment horizontal="right" vertical="center"/>
    </xf>
    <xf numFmtId="0" fontId="0" fillId="4" borderId="12" xfId="0" applyFill="1" applyBorder="1" applyAlignment="1">
      <alignment horizontal="center"/>
    </xf>
    <xf numFmtId="49" fontId="28" fillId="10" borderId="13" xfId="0" applyNumberFormat="1" applyFont="1" applyFill="1" applyBorder="1" applyAlignment="1">
      <alignment horizontal="center"/>
    </xf>
    <xf numFmtId="0" fontId="29" fillId="0" borderId="13" xfId="0" applyFont="1" applyBorder="1" applyAlignment="1">
      <alignment horizontal="left" vertical="top"/>
    </xf>
    <xf numFmtId="0" fontId="28" fillId="0" borderId="13" xfId="0" applyFont="1" applyBorder="1" applyAlignment="1">
      <alignment horizontal="center"/>
    </xf>
    <xf numFmtId="175" fontId="28" fillId="0" borderId="13" xfId="0" applyNumberFormat="1" applyFont="1" applyBorder="1" applyAlignment="1">
      <alignment horizontal="right"/>
    </xf>
    <xf numFmtId="4" fontId="28" fillId="0" borderId="13" xfId="0" applyNumberFormat="1" applyFont="1" applyBorder="1" applyAlignment="1"/>
    <xf numFmtId="0" fontId="28" fillId="0" borderId="13" xfId="0" applyFont="1" applyBorder="1"/>
    <xf numFmtId="0" fontId="28" fillId="9" borderId="13" xfId="0" applyFont="1" applyFill="1" applyBorder="1" applyAlignment="1">
      <alignment horizontal="right" vertical="center"/>
    </xf>
    <xf numFmtId="0" fontId="28" fillId="9" borderId="13" xfId="0" applyFont="1" applyFill="1" applyBorder="1" applyAlignment="1">
      <alignment horizontal="center" vertical="center"/>
    </xf>
    <xf numFmtId="10" fontId="28" fillId="9" borderId="13" xfId="0" applyNumberFormat="1" applyFont="1" applyFill="1" applyBorder="1" applyAlignment="1">
      <alignment vertical="center"/>
    </xf>
    <xf numFmtId="2" fontId="28" fillId="9" borderId="13" xfId="0" applyNumberFormat="1" applyFont="1" applyFill="1" applyBorder="1" applyAlignment="1">
      <alignment vertical="center"/>
    </xf>
    <xf numFmtId="175" fontId="28" fillId="0" borderId="13" xfId="0" applyNumberFormat="1" applyFont="1" applyBorder="1" applyAlignment="1">
      <alignment horizontal="center"/>
    </xf>
    <xf numFmtId="2" fontId="28" fillId="0" borderId="13" xfId="0" applyNumberFormat="1" applyFont="1" applyBorder="1" applyAlignment="1">
      <alignment horizontal="center"/>
    </xf>
    <xf numFmtId="177" fontId="28" fillId="9" borderId="13" xfId="0" applyNumberFormat="1" applyFont="1" applyFill="1" applyBorder="1" applyAlignment="1">
      <alignment horizontal="right" vertical="top"/>
    </xf>
    <xf numFmtId="174" fontId="28" fillId="0" borderId="13" xfId="0" applyNumberFormat="1" applyFont="1" applyBorder="1" applyAlignment="1">
      <alignment horizontal="center" vertical="top"/>
    </xf>
    <xf numFmtId="2" fontId="28" fillId="0" borderId="13" xfId="0" applyNumberFormat="1" applyFont="1" applyBorder="1" applyAlignment="1">
      <alignment horizontal="center" vertical="top"/>
    </xf>
    <xf numFmtId="4" fontId="28" fillId="0" borderId="13" xfId="0" applyNumberFormat="1" applyFont="1" applyBorder="1" applyAlignment="1">
      <alignment horizontal="center"/>
    </xf>
    <xf numFmtId="0" fontId="0" fillId="0" borderId="33" xfId="7" applyFont="1" applyFill="1" applyBorder="1" applyAlignment="1">
      <alignment horizontal="left" vertical="center" wrapText="1"/>
    </xf>
    <xf numFmtId="0" fontId="0" fillId="0" borderId="48" xfId="0" applyFont="1" applyFill="1" applyBorder="1" applyAlignment="1">
      <alignment horizontal="center" vertical="center"/>
    </xf>
    <xf numFmtId="4" fontId="0" fillId="0" borderId="9" xfId="7" applyNumberFormat="1" applyFont="1" applyFill="1" applyBorder="1" applyAlignment="1">
      <alignment horizontal="right" vertical="center"/>
    </xf>
    <xf numFmtId="4" fontId="0" fillId="0" borderId="9" xfId="7" applyNumberFormat="1" applyFont="1" applyFill="1" applyBorder="1" applyAlignment="1">
      <alignment vertical="center"/>
    </xf>
    <xf numFmtId="172" fontId="9" fillId="2" borderId="36" xfId="4" applyFont="1" applyFill="1" applyBorder="1" applyAlignment="1" applyProtection="1">
      <alignment horizontal="center" vertical="center"/>
    </xf>
    <xf numFmtId="4" fontId="9" fillId="2" borderId="16" xfId="9" applyNumberFormat="1" applyFont="1" applyFill="1" applyBorder="1" applyAlignment="1">
      <alignment vertical="center" wrapText="1"/>
    </xf>
    <xf numFmtId="4" fontId="6" fillId="2" borderId="16" xfId="7" applyNumberFormat="1" applyFont="1" applyFill="1" applyBorder="1" applyAlignment="1">
      <alignment horizontal="center" vertical="center"/>
    </xf>
    <xf numFmtId="49" fontId="9" fillId="3" borderId="17" xfId="7" applyNumberFormat="1" applyFont="1" applyFill="1" applyBorder="1" applyAlignment="1">
      <alignment horizontal="center" vertical="center"/>
    </xf>
    <xf numFmtId="4" fontId="9" fillId="3" borderId="16" xfId="7" applyNumberFormat="1" applyFont="1" applyFill="1" applyBorder="1" applyAlignment="1">
      <alignment horizontal="right" vertical="center"/>
    </xf>
    <xf numFmtId="49" fontId="0" fillId="2" borderId="17" xfId="7" applyNumberFormat="1" applyFont="1" applyFill="1" applyBorder="1" applyAlignment="1">
      <alignment horizontal="center" vertical="center"/>
    </xf>
    <xf numFmtId="4" fontId="0" fillId="2" borderId="16" xfId="7" applyNumberFormat="1" applyFont="1" applyFill="1" applyBorder="1" applyAlignment="1">
      <alignment horizontal="right" vertical="center"/>
    </xf>
    <xf numFmtId="4" fontId="0" fillId="0" borderId="16" xfId="7" applyNumberFormat="1" applyFont="1" applyFill="1" applyBorder="1" applyAlignment="1">
      <alignment horizontal="right" vertical="center"/>
    </xf>
    <xf numFmtId="4" fontId="9" fillId="3" borderId="40" xfId="7" applyNumberFormat="1" applyFont="1" applyFill="1" applyBorder="1" applyAlignment="1">
      <alignment horizontal="right" vertical="center"/>
    </xf>
    <xf numFmtId="4" fontId="9" fillId="2" borderId="16" xfId="7" applyNumberFormat="1" applyFont="1" applyFill="1" applyBorder="1" applyAlignment="1">
      <alignment horizontal="right" vertical="center"/>
    </xf>
    <xf numFmtId="49" fontId="0" fillId="2" borderId="80" xfId="7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justify" vertical="center" wrapText="1"/>
    </xf>
    <xf numFmtId="0" fontId="0" fillId="0" borderId="81" xfId="0" applyFont="1" applyFill="1" applyBorder="1" applyAlignment="1">
      <alignment horizontal="center" vertical="center"/>
    </xf>
    <xf numFmtId="4" fontId="0" fillId="0" borderId="86" xfId="0" applyNumberFormat="1" applyFont="1" applyFill="1" applyBorder="1" applyAlignment="1">
      <alignment horizontal="right" vertical="center"/>
    </xf>
    <xf numFmtId="4" fontId="0" fillId="2" borderId="86" xfId="7" applyNumberFormat="1" applyFont="1" applyFill="1" applyBorder="1" applyAlignment="1">
      <alignment vertical="center"/>
    </xf>
    <xf numFmtId="4" fontId="0" fillId="2" borderId="66" xfId="7" applyNumberFormat="1" applyFont="1" applyFill="1" applyBorder="1" applyAlignment="1">
      <alignment horizontal="right" vertical="center"/>
    </xf>
    <xf numFmtId="49" fontId="7" fillId="6" borderId="104" xfId="27" applyNumberFormat="1" applyFont="1" applyFill="1" applyBorder="1" applyAlignment="1" applyProtection="1">
      <alignment horizontal="center" vertical="center"/>
    </xf>
    <xf numFmtId="0" fontId="9" fillId="0" borderId="13" xfId="0" applyFont="1" applyBorder="1"/>
    <xf numFmtId="0" fontId="9" fillId="0" borderId="13" xfId="0" applyFont="1" applyBorder="1" applyAlignment="1">
      <alignment horizontal="center"/>
    </xf>
    <xf numFmtId="0" fontId="33" fillId="7" borderId="13" xfId="0" applyFont="1" applyFill="1" applyBorder="1" applyAlignment="1">
      <alignment horizontal="center"/>
    </xf>
    <xf numFmtId="2" fontId="22" fillId="0" borderId="0" xfId="0" applyNumberFormat="1" applyFont="1" applyBorder="1"/>
    <xf numFmtId="4" fontId="10" fillId="2" borderId="16" xfId="0" applyNumberFormat="1" applyFont="1" applyFill="1" applyBorder="1" applyAlignment="1">
      <alignment horizontal="right"/>
    </xf>
    <xf numFmtId="0" fontId="0" fillId="5" borderId="50" xfId="0" applyFont="1" applyFill="1" applyBorder="1" applyAlignment="1">
      <alignment horizontal="center"/>
    </xf>
    <xf numFmtId="171" fontId="0" fillId="0" borderId="46" xfId="18" applyFont="1" applyFill="1" applyBorder="1" applyAlignment="1" applyProtection="1">
      <alignment horizontal="right"/>
    </xf>
    <xf numFmtId="171" fontId="6" fillId="0" borderId="56" xfId="0" applyNumberFormat="1" applyFont="1" applyBorder="1"/>
    <xf numFmtId="4" fontId="16" fillId="0" borderId="58" xfId="5" applyNumberFormat="1" applyFont="1" applyFill="1" applyBorder="1" applyAlignment="1" applyProtection="1">
      <alignment vertical="center"/>
    </xf>
    <xf numFmtId="4" fontId="16" fillId="0" borderId="60" xfId="5" applyNumberFormat="1" applyFont="1" applyFill="1" applyBorder="1" applyAlignment="1" applyProtection="1">
      <alignment vertical="center"/>
    </xf>
    <xf numFmtId="4" fontId="16" fillId="0" borderId="108" xfId="5" applyNumberFormat="1" applyFont="1" applyFill="1" applyBorder="1" applyAlignment="1" applyProtection="1">
      <alignment vertical="center"/>
    </xf>
    <xf numFmtId="4" fontId="16" fillId="0" borderId="109" xfId="5" applyNumberFormat="1" applyFont="1" applyFill="1" applyBorder="1" applyAlignment="1" applyProtection="1">
      <alignment vertical="center"/>
    </xf>
    <xf numFmtId="4" fontId="35" fillId="0" borderId="0" xfId="13" applyNumberFormat="1" applyFont="1" applyAlignment="1">
      <alignment horizontal="left"/>
    </xf>
    <xf numFmtId="0" fontId="33" fillId="7" borderId="111" xfId="0" applyFont="1" applyFill="1" applyBorder="1" applyAlignment="1">
      <alignment wrapText="1"/>
    </xf>
    <xf numFmtId="0" fontId="33" fillId="7" borderId="110" xfId="0" applyFont="1" applyFill="1" applyBorder="1" applyAlignment="1">
      <alignment horizontal="center"/>
    </xf>
    <xf numFmtId="4" fontId="34" fillId="0" borderId="70" xfId="13" applyNumberFormat="1" applyFont="1" applyBorder="1" applyAlignment="1">
      <alignment horizontal="center"/>
    </xf>
    <xf numFmtId="4" fontId="34" fillId="0" borderId="34" xfId="13" applyNumberFormat="1" applyFont="1" applyBorder="1" applyAlignment="1">
      <alignment horizontal="left"/>
    </xf>
    <xf numFmtId="4" fontId="34" fillId="0" borderId="71" xfId="13" applyNumberFormat="1" applyFont="1" applyBorder="1" applyAlignment="1">
      <alignment horizontal="left"/>
    </xf>
    <xf numFmtId="4" fontId="35" fillId="0" borderId="70" xfId="13" applyNumberFormat="1" applyFont="1" applyBorder="1" applyAlignment="1">
      <alignment horizontal="center"/>
    </xf>
    <xf numFmtId="4" fontId="34" fillId="0" borderId="34" xfId="13" applyNumberFormat="1" applyFont="1" applyBorder="1" applyAlignment="1">
      <alignment horizontal="right"/>
    </xf>
    <xf numFmtId="4" fontId="34" fillId="0" borderId="34" xfId="13" applyNumberFormat="1" applyFont="1" applyFill="1" applyBorder="1" applyAlignment="1">
      <alignment horizontal="left"/>
    </xf>
    <xf numFmtId="4" fontId="14" fillId="0" borderId="113" xfId="21" applyNumberFormat="1" applyFont="1" applyFill="1" applyBorder="1" applyAlignment="1" applyProtection="1">
      <alignment horizontal="center" vertical="center"/>
    </xf>
    <xf numFmtId="4" fontId="14" fillId="0" borderId="114" xfId="7" applyNumberFormat="1" applyFont="1" applyFill="1" applyBorder="1" applyAlignment="1">
      <alignment horizontal="center" vertical="center"/>
    </xf>
    <xf numFmtId="4" fontId="14" fillId="3" borderId="115" xfId="7" applyNumberFormat="1" applyFont="1" applyFill="1" applyBorder="1" applyAlignment="1">
      <alignment horizontal="center" vertical="center"/>
    </xf>
    <xf numFmtId="0" fontId="6" fillId="3" borderId="116" xfId="7" applyFont="1" applyFill="1" applyBorder="1" applyAlignment="1">
      <alignment horizontal="center" vertical="center" wrapText="1"/>
    </xf>
    <xf numFmtId="4" fontId="15" fillId="3" borderId="113" xfId="7" applyNumberFormat="1" applyFont="1" applyFill="1" applyBorder="1" applyAlignment="1">
      <alignment horizontal="center" vertical="center"/>
    </xf>
    <xf numFmtId="4" fontId="15" fillId="3" borderId="113" xfId="7" applyNumberFormat="1" applyFont="1" applyFill="1" applyBorder="1" applyAlignment="1">
      <alignment horizontal="right" vertical="center"/>
    </xf>
    <xf numFmtId="4" fontId="14" fillId="3" borderId="114" xfId="7" applyNumberFormat="1" applyFont="1" applyFill="1" applyBorder="1" applyAlignment="1">
      <alignment horizontal="right" vertical="center"/>
    </xf>
    <xf numFmtId="4" fontId="7" fillId="2" borderId="117" xfId="7" applyNumberFormat="1" applyFont="1" applyFill="1" applyBorder="1" applyAlignment="1">
      <alignment horizontal="center" vertical="center"/>
    </xf>
    <xf numFmtId="4" fontId="12" fillId="0" borderId="116" xfId="13" applyNumberFormat="1" applyFont="1" applyBorder="1" applyAlignment="1">
      <alignment horizontal="left" vertical="center" wrapText="1"/>
    </xf>
    <xf numFmtId="4" fontId="7" fillId="2" borderId="113" xfId="7" applyNumberFormat="1" applyFont="1" applyFill="1" applyBorder="1" applyAlignment="1">
      <alignment horizontal="center" vertical="center"/>
    </xf>
    <xf numFmtId="4" fontId="7" fillId="2" borderId="113" xfId="7" applyNumberFormat="1" applyFont="1" applyFill="1" applyBorder="1" applyAlignment="1">
      <alignment horizontal="right" vertical="center"/>
    </xf>
    <xf numFmtId="4" fontId="12" fillId="2" borderId="114" xfId="7" applyNumberFormat="1" applyFont="1" applyFill="1" applyBorder="1" applyAlignment="1">
      <alignment horizontal="right" vertical="center"/>
    </xf>
    <xf numFmtId="0" fontId="33" fillId="7" borderId="106" xfId="0" applyFont="1" applyFill="1" applyBorder="1" applyAlignment="1">
      <alignment wrapText="1"/>
    </xf>
    <xf numFmtId="4" fontId="17" fillId="0" borderId="119" xfId="13" applyNumberFormat="1" applyFont="1" applyBorder="1" applyAlignment="1"/>
    <xf numFmtId="4" fontId="14" fillId="0" borderId="120" xfId="23" applyNumberFormat="1" applyFont="1" applyFill="1" applyBorder="1" applyAlignment="1" applyProtection="1">
      <alignment vertical="center"/>
    </xf>
    <xf numFmtId="4" fontId="14" fillId="0" borderId="121" xfId="23" applyNumberFormat="1" applyFont="1" applyFill="1" applyBorder="1" applyAlignment="1" applyProtection="1">
      <alignment vertical="center"/>
    </xf>
    <xf numFmtId="4" fontId="17" fillId="0" borderId="122" xfId="13" applyNumberFormat="1" applyFont="1" applyBorder="1" applyAlignment="1"/>
    <xf numFmtId="4" fontId="7" fillId="0" borderId="123" xfId="15" applyNumberFormat="1" applyFont="1" applyBorder="1" applyAlignment="1">
      <alignment horizontal="left"/>
    </xf>
    <xf numFmtId="0" fontId="36" fillId="0" borderId="110" xfId="0" applyFont="1" applyBorder="1" applyAlignment="1">
      <alignment vertical="center" wrapText="1"/>
    </xf>
    <xf numFmtId="0" fontId="36" fillId="0" borderId="110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top" wrapText="1"/>
    </xf>
    <xf numFmtId="0" fontId="37" fillId="0" borderId="13" xfId="0" applyFont="1" applyFill="1" applyBorder="1" applyAlignment="1">
      <alignment vertical="center"/>
    </xf>
    <xf numFmtId="0" fontId="38" fillId="0" borderId="13" xfId="0" applyFont="1" applyBorder="1" applyAlignment="1" applyProtection="1">
      <alignment horizontal="center"/>
      <protection locked="0"/>
    </xf>
    <xf numFmtId="4" fontId="37" fillId="0" borderId="13" xfId="0" applyNumberFormat="1" applyFont="1" applyBorder="1" applyAlignment="1">
      <alignment horizontal="right"/>
    </xf>
    <xf numFmtId="4" fontId="36" fillId="0" borderId="13" xfId="0" applyNumberFormat="1" applyFont="1" applyBorder="1" applyAlignment="1">
      <alignment horizontal="right" wrapText="1"/>
    </xf>
    <xf numFmtId="4" fontId="37" fillId="0" borderId="13" xfId="0" applyNumberFormat="1" applyFont="1" applyFill="1" applyBorder="1" applyAlignment="1">
      <alignment horizontal="right"/>
    </xf>
    <xf numFmtId="4" fontId="37" fillId="0" borderId="105" xfId="0" applyNumberFormat="1" applyFont="1" applyBorder="1" applyAlignment="1">
      <alignment horizontal="right"/>
    </xf>
    <xf numFmtId="0" fontId="37" fillId="0" borderId="13" xfId="0" applyFont="1" applyFill="1" applyBorder="1" applyAlignment="1">
      <alignment vertical="center" wrapText="1"/>
    </xf>
    <xf numFmtId="0" fontId="37" fillId="0" borderId="13" xfId="0" applyFont="1" applyBorder="1"/>
    <xf numFmtId="0" fontId="37" fillId="0" borderId="13" xfId="0" applyFont="1" applyFill="1" applyBorder="1" applyAlignment="1">
      <alignment horizontal="center" vertical="top" wrapText="1"/>
    </xf>
    <xf numFmtId="0" fontId="37" fillId="0" borderId="110" xfId="0" applyFont="1" applyBorder="1" applyAlignment="1">
      <alignment horizontal="center" vertical="top" wrapText="1"/>
    </xf>
    <xf numFmtId="0" fontId="37" fillId="0" borderId="110" xfId="0" applyFont="1" applyFill="1" applyBorder="1" applyAlignment="1">
      <alignment vertical="center"/>
    </xf>
    <xf numFmtId="0" fontId="38" fillId="0" borderId="110" xfId="0" applyFont="1" applyBorder="1" applyAlignment="1" applyProtection="1">
      <alignment horizontal="center"/>
      <protection locked="0"/>
    </xf>
    <xf numFmtId="4" fontId="37" fillId="0" borderId="110" xfId="0" applyNumberFormat="1" applyFont="1" applyBorder="1" applyAlignment="1">
      <alignment horizontal="right"/>
    </xf>
    <xf numFmtId="4" fontId="36" fillId="0" borderId="110" xfId="0" applyNumberFormat="1" applyFont="1" applyBorder="1" applyAlignment="1">
      <alignment horizontal="right" wrapText="1"/>
    </xf>
    <xf numFmtId="0" fontId="36" fillId="0" borderId="124" xfId="0" applyFont="1" applyBorder="1" applyAlignment="1">
      <alignment vertical="center" wrapText="1"/>
    </xf>
    <xf numFmtId="0" fontId="36" fillId="0" borderId="124" xfId="0" applyFont="1" applyBorder="1" applyAlignment="1">
      <alignment horizontal="center" vertical="center" wrapText="1"/>
    </xf>
    <xf numFmtId="0" fontId="37" fillId="0" borderId="105" xfId="0" applyFont="1" applyFill="1" applyBorder="1" applyAlignment="1">
      <alignment vertical="center"/>
    </xf>
    <xf numFmtId="0" fontId="38" fillId="0" borderId="105" xfId="0" applyFont="1" applyBorder="1" applyAlignment="1" applyProtection="1">
      <alignment horizontal="center"/>
      <protection locked="0"/>
    </xf>
    <xf numFmtId="0" fontId="38" fillId="0" borderId="13" xfId="0" applyFont="1" applyBorder="1" applyAlignment="1" applyProtection="1">
      <alignment horizontal="left" vertical="top" wrapText="1"/>
      <protection locked="0"/>
    </xf>
    <xf numFmtId="0" fontId="38" fillId="0" borderId="13" xfId="0" applyFont="1" applyFill="1" applyBorder="1" applyAlignment="1" applyProtection="1">
      <alignment horizontal="left" wrapText="1"/>
      <protection locked="0"/>
    </xf>
    <xf numFmtId="0" fontId="38" fillId="0" borderId="13" xfId="0" applyFont="1" applyFill="1" applyBorder="1" applyAlignment="1" applyProtection="1">
      <alignment horizontal="center"/>
      <protection locked="0"/>
    </xf>
    <xf numFmtId="4" fontId="36" fillId="0" borderId="13" xfId="0" applyNumberFormat="1" applyFont="1" applyFill="1" applyBorder="1" applyAlignment="1">
      <alignment horizontal="right" wrapText="1"/>
    </xf>
    <xf numFmtId="0" fontId="38" fillId="0" borderId="13" xfId="0" applyFont="1" applyFill="1" applyBorder="1" applyAlignment="1" applyProtection="1">
      <alignment horizontal="left"/>
      <protection locked="0"/>
    </xf>
    <xf numFmtId="4" fontId="15" fillId="0" borderId="125" xfId="7" applyNumberFormat="1" applyFont="1" applyFill="1" applyBorder="1" applyAlignment="1">
      <alignment horizontal="center" vertical="center"/>
    </xf>
    <xf numFmtId="2" fontId="8" fillId="0" borderId="0" xfId="7" applyNumberFormat="1" applyFont="1" applyFill="1" applyBorder="1" applyAlignment="1">
      <alignment horizontal="center" vertical="center"/>
    </xf>
    <xf numFmtId="179" fontId="25" fillId="0" borderId="126" xfId="7" applyNumberFormat="1" applyFont="1" applyFill="1" applyBorder="1" applyAlignment="1">
      <alignment horizontal="center" vertical="center"/>
    </xf>
    <xf numFmtId="0" fontId="24" fillId="0" borderId="126" xfId="7" applyFont="1" applyFill="1" applyBorder="1" applyAlignment="1">
      <alignment horizontal="center" vertical="center"/>
    </xf>
    <xf numFmtId="0" fontId="25" fillId="0" borderId="35" xfId="7" applyFont="1" applyFill="1" applyBorder="1" applyAlignment="1">
      <alignment horizontal="center" vertical="center"/>
    </xf>
    <xf numFmtId="0" fontId="25" fillId="0" borderId="35" xfId="7" applyFont="1" applyFill="1" applyBorder="1" applyAlignment="1">
      <alignment horizontal="center" vertical="center" wrapText="1"/>
    </xf>
    <xf numFmtId="4" fontId="9" fillId="3" borderId="0" xfId="7" applyNumberFormat="1" applyFont="1" applyFill="1" applyBorder="1" applyAlignment="1">
      <alignment horizontal="right" vertical="center"/>
    </xf>
    <xf numFmtId="0" fontId="37" fillId="0" borderId="22" xfId="0" applyFont="1" applyBorder="1" applyAlignment="1">
      <alignment horizontal="center" vertical="top" wrapText="1"/>
    </xf>
    <xf numFmtId="4" fontId="36" fillId="0" borderId="106" xfId="0" applyNumberFormat="1" applyFont="1" applyBorder="1" applyAlignment="1">
      <alignment horizontal="right" wrapText="1"/>
    </xf>
    <xf numFmtId="0" fontId="0" fillId="0" borderId="57" xfId="0" applyBorder="1"/>
    <xf numFmtId="0" fontId="0" fillId="0" borderId="127" xfId="0" applyBorder="1"/>
    <xf numFmtId="0" fontId="0" fillId="5" borderId="46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right" vertical="center"/>
    </xf>
    <xf numFmtId="4" fontId="10" fillId="2" borderId="128" xfId="0" applyNumberFormat="1" applyFont="1" applyFill="1" applyBorder="1" applyAlignment="1">
      <alignment horizontal="center"/>
    </xf>
    <xf numFmtId="171" fontId="9" fillId="2" borderId="128" xfId="23" applyNumberFormat="1" applyFont="1" applyFill="1" applyBorder="1" applyAlignment="1" applyProtection="1">
      <alignment horizontal="center" vertical="center"/>
    </xf>
    <xf numFmtId="49" fontId="21" fillId="6" borderId="3" xfId="27" applyNumberFormat="1" applyFont="1" applyFill="1" applyBorder="1" applyAlignment="1" applyProtection="1">
      <alignment horizontal="center" vertical="center"/>
    </xf>
    <xf numFmtId="49" fontId="21" fillId="6" borderId="3" xfId="27" applyNumberFormat="1" applyFont="1" applyFill="1" applyBorder="1" applyAlignment="1" applyProtection="1">
      <alignment horizontal="left" vertical="center"/>
    </xf>
    <xf numFmtId="4" fontId="5" fillId="2" borderId="132" xfId="14" applyNumberFormat="1" applyFont="1" applyFill="1" applyBorder="1" applyAlignment="1">
      <alignment vertical="center"/>
    </xf>
    <xf numFmtId="0" fontId="31" fillId="8" borderId="133" xfId="0" applyFont="1" applyFill="1" applyBorder="1" applyAlignment="1">
      <alignment horizontal="center" vertical="center" wrapText="1"/>
    </xf>
    <xf numFmtId="49" fontId="27" fillId="8" borderId="134" xfId="0" applyNumberFormat="1" applyFont="1" applyFill="1" applyBorder="1" applyAlignment="1">
      <alignment horizontal="center" vertical="center"/>
    </xf>
    <xf numFmtId="0" fontId="28" fillId="9" borderId="22" xfId="0" applyFont="1" applyFill="1" applyBorder="1" applyAlignment="1">
      <alignment horizontal="left" vertical="center"/>
    </xf>
    <xf numFmtId="174" fontId="26" fillId="9" borderId="129" xfId="0" applyNumberFormat="1" applyFont="1" applyFill="1" applyBorder="1" applyAlignment="1">
      <alignment horizontal="left" vertical="center"/>
    </xf>
    <xf numFmtId="0" fontId="28" fillId="9" borderId="37" xfId="0" applyFont="1" applyFill="1" applyBorder="1" applyAlignment="1">
      <alignment horizontal="center" wrapText="1"/>
    </xf>
    <xf numFmtId="0" fontId="28" fillId="9" borderId="13" xfId="0" applyFont="1" applyFill="1" applyBorder="1" applyAlignment="1">
      <alignment horizontal="center"/>
    </xf>
    <xf numFmtId="175" fontId="28" fillId="9" borderId="13" xfId="0" applyNumberFormat="1" applyFont="1" applyFill="1" applyBorder="1" applyAlignment="1">
      <alignment horizontal="right"/>
    </xf>
    <xf numFmtId="175" fontId="28" fillId="9" borderId="13" xfId="0" applyNumberFormat="1" applyFont="1" applyFill="1" applyBorder="1" applyAlignment="1">
      <alignment horizontal="center"/>
    </xf>
    <xf numFmtId="2" fontId="28" fillId="9" borderId="13" xfId="0" applyNumberFormat="1" applyFont="1" applyFill="1" applyBorder="1" applyAlignment="1">
      <alignment horizontal="center"/>
    </xf>
    <xf numFmtId="174" fontId="28" fillId="9" borderId="18" xfId="0" applyNumberFormat="1" applyFont="1" applyFill="1" applyBorder="1" applyAlignment="1">
      <alignment horizontal="center"/>
    </xf>
    <xf numFmtId="178" fontId="28" fillId="0" borderId="137" xfId="0" applyNumberFormat="1" applyFont="1" applyBorder="1" applyAlignment="1">
      <alignment horizontal="left" vertical="center" wrapText="1"/>
    </xf>
    <xf numFmtId="0" fontId="28" fillId="9" borderId="22" xfId="0" applyFont="1" applyFill="1" applyBorder="1" applyAlignment="1">
      <alignment horizontal="center"/>
    </xf>
    <xf numFmtId="2" fontId="28" fillId="9" borderId="22" xfId="0" applyNumberFormat="1" applyFont="1" applyFill="1" applyBorder="1" applyAlignment="1">
      <alignment horizontal="left" indent="2"/>
    </xf>
    <xf numFmtId="174" fontId="28" fillId="9" borderId="13" xfId="0" applyNumberFormat="1" applyFont="1" applyFill="1" applyBorder="1" applyAlignment="1">
      <alignment horizontal="center"/>
    </xf>
    <xf numFmtId="4" fontId="28" fillId="0" borderId="18" xfId="0" applyNumberFormat="1" applyFont="1" applyBorder="1" applyAlignment="1"/>
    <xf numFmtId="4" fontId="29" fillId="9" borderId="138" xfId="0" applyNumberFormat="1" applyFont="1" applyFill="1" applyBorder="1" applyAlignment="1"/>
    <xf numFmtId="0" fontId="28" fillId="9" borderId="37" xfId="0" applyFont="1" applyFill="1" applyBorder="1" applyAlignment="1">
      <alignment horizontal="left" wrapText="1"/>
    </xf>
    <xf numFmtId="4" fontId="29" fillId="9" borderId="18" xfId="0" applyNumberFormat="1" applyFont="1" applyFill="1" applyBorder="1" applyAlignment="1"/>
    <xf numFmtId="0" fontId="28" fillId="9" borderId="139" xfId="0" applyFont="1" applyFill="1" applyBorder="1" applyAlignment="1">
      <alignment horizontal="center"/>
    </xf>
    <xf numFmtId="1" fontId="28" fillId="9" borderId="135" xfId="0" applyNumberFormat="1" applyFont="1" applyFill="1" applyBorder="1" applyAlignment="1">
      <alignment horizontal="center" vertical="top"/>
    </xf>
    <xf numFmtId="175" fontId="28" fillId="9" borderId="135" xfId="0" applyNumberFormat="1" applyFont="1" applyFill="1" applyBorder="1" applyAlignment="1">
      <alignment horizontal="right" vertical="top"/>
    </xf>
    <xf numFmtId="2" fontId="28" fillId="0" borderId="135" xfId="0" applyNumberFormat="1" applyFont="1" applyBorder="1" applyAlignment="1">
      <alignment horizontal="right" vertical="center"/>
    </xf>
    <xf numFmtId="4" fontId="5" fillId="2" borderId="135" xfId="14" applyNumberFormat="1" applyFont="1" applyFill="1" applyBorder="1" applyAlignment="1">
      <alignment horizontal="right" vertical="center"/>
    </xf>
    <xf numFmtId="0" fontId="27" fillId="0" borderId="137" xfId="0" applyFont="1" applyBorder="1" applyAlignment="1">
      <alignment wrapText="1"/>
    </xf>
    <xf numFmtId="0" fontId="27" fillId="0" borderId="135" xfId="0" applyFont="1" applyBorder="1"/>
    <xf numFmtId="0" fontId="28" fillId="9" borderId="36" xfId="0" applyFont="1" applyFill="1" applyBorder="1" applyAlignment="1">
      <alignment horizontal="right" vertical="center" wrapText="1"/>
    </xf>
    <xf numFmtId="0" fontId="28" fillId="9" borderId="135" xfId="0" applyFont="1" applyFill="1" applyBorder="1" applyAlignment="1">
      <alignment horizontal="center" vertical="center"/>
    </xf>
    <xf numFmtId="2" fontId="29" fillId="9" borderId="141" xfId="0" applyNumberFormat="1" applyFont="1" applyFill="1" applyBorder="1" applyAlignment="1">
      <alignment vertical="center"/>
    </xf>
    <xf numFmtId="4" fontId="29" fillId="9" borderId="18" xfId="0" applyNumberFormat="1" applyFont="1" applyFill="1" applyBorder="1" applyAlignment="1">
      <alignment vertical="center"/>
    </xf>
    <xf numFmtId="2" fontId="28" fillId="9" borderId="37" xfId="0" applyNumberFormat="1" applyFont="1" applyFill="1" applyBorder="1" applyAlignment="1">
      <alignment vertical="center" wrapText="1"/>
    </xf>
    <xf numFmtId="10" fontId="28" fillId="9" borderId="141" xfId="0" applyNumberFormat="1" applyFont="1" applyFill="1" applyBorder="1" applyAlignment="1">
      <alignment vertical="center"/>
    </xf>
    <xf numFmtId="2" fontId="28" fillId="9" borderId="141" xfId="0" applyNumberFormat="1" applyFont="1" applyFill="1" applyBorder="1" applyAlignment="1">
      <alignment vertical="center"/>
    </xf>
    <xf numFmtId="2" fontId="28" fillId="9" borderId="142" xfId="0" applyNumberFormat="1" applyFont="1" applyFill="1" applyBorder="1" applyAlignment="1">
      <alignment vertical="center"/>
    </xf>
    <xf numFmtId="4" fontId="28" fillId="9" borderId="18" xfId="0" applyNumberFormat="1" applyFont="1" applyFill="1" applyBorder="1" applyAlignment="1">
      <alignment vertical="center"/>
    </xf>
    <xf numFmtId="0" fontId="30" fillId="10" borderId="137" xfId="0" applyFont="1" applyFill="1" applyBorder="1" applyAlignment="1">
      <alignment horizontal="center" vertical="center" wrapText="1"/>
    </xf>
    <xf numFmtId="49" fontId="28" fillId="10" borderId="135" xfId="0" applyNumberFormat="1" applyFont="1" applyFill="1" applyBorder="1" applyAlignment="1">
      <alignment horizontal="center"/>
    </xf>
    <xf numFmtId="0" fontId="29" fillId="0" borderId="18" xfId="0" applyFont="1" applyBorder="1" applyAlignment="1">
      <alignment horizontal="left" vertical="top"/>
    </xf>
    <xf numFmtId="0" fontId="28" fillId="0" borderId="137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4" fontId="29" fillId="0" borderId="18" xfId="0" applyNumberFormat="1" applyFont="1" applyBorder="1" applyAlignment="1"/>
    <xf numFmtId="0" fontId="28" fillId="0" borderId="137" xfId="0" applyFont="1" applyBorder="1"/>
    <xf numFmtId="4" fontId="28" fillId="9" borderId="18" xfId="0" applyNumberFormat="1" applyFont="1" applyFill="1" applyBorder="1" applyAlignment="1"/>
    <xf numFmtId="0" fontId="28" fillId="9" borderId="137" xfId="0" applyFont="1" applyFill="1" applyBorder="1" applyAlignment="1">
      <alignment horizontal="right" vertical="center" wrapText="1"/>
    </xf>
    <xf numFmtId="2" fontId="28" fillId="9" borderId="137" xfId="0" applyNumberFormat="1" applyFont="1" applyFill="1" applyBorder="1" applyAlignment="1">
      <alignment vertical="center" wrapText="1"/>
    </xf>
    <xf numFmtId="0" fontId="28" fillId="0" borderId="137" xfId="0" applyFont="1" applyBorder="1" applyAlignment="1">
      <alignment horizontal="left"/>
    </xf>
    <xf numFmtId="4" fontId="28" fillId="0" borderId="18" xfId="0" applyNumberFormat="1" applyFont="1" applyBorder="1" applyAlignment="1">
      <alignment vertical="top"/>
    </xf>
    <xf numFmtId="4" fontId="29" fillId="9" borderId="20" xfId="0" applyNumberFormat="1" applyFont="1" applyFill="1" applyBorder="1" applyAlignment="1">
      <alignment vertical="center"/>
    </xf>
    <xf numFmtId="0" fontId="16" fillId="0" borderId="3" xfId="13" applyFont="1" applyFill="1" applyBorder="1" applyAlignment="1">
      <alignment horizontal="center" vertical="center" wrapText="1"/>
    </xf>
    <xf numFmtId="171" fontId="21" fillId="0" borderId="3" xfId="27" applyNumberFormat="1" applyFont="1" applyFill="1" applyBorder="1" applyAlignment="1" applyProtection="1">
      <alignment horizontal="center" vertical="center"/>
    </xf>
    <xf numFmtId="0" fontId="16" fillId="0" borderId="15" xfId="13" applyFont="1" applyFill="1" applyBorder="1" applyAlignment="1">
      <alignment horizontal="center" vertical="center" wrapText="1"/>
    </xf>
    <xf numFmtId="49" fontId="16" fillId="0" borderId="16" xfId="13" applyNumberFormat="1" applyFont="1" applyFill="1" applyBorder="1" applyAlignment="1">
      <alignment horizontal="center" vertical="center" wrapText="1"/>
    </xf>
    <xf numFmtId="3" fontId="21" fillId="0" borderId="15" xfId="14" applyFont="1" applyFill="1" applyBorder="1" applyAlignment="1">
      <alignment horizontal="left" vertical="center" wrapText="1"/>
    </xf>
    <xf numFmtId="49" fontId="21" fillId="0" borderId="16" xfId="27" applyNumberFormat="1" applyFont="1" applyFill="1" applyBorder="1" applyAlignment="1" applyProtection="1">
      <alignment horizontal="center" vertical="center"/>
    </xf>
    <xf numFmtId="0" fontId="21" fillId="0" borderId="15" xfId="13" applyFont="1" applyFill="1" applyBorder="1" applyAlignment="1">
      <alignment horizontal="left" vertical="center" wrapText="1"/>
    </xf>
    <xf numFmtId="171" fontId="21" fillId="0" borderId="15" xfId="14" applyNumberFormat="1" applyFont="1" applyFill="1" applyBorder="1" applyAlignment="1">
      <alignment horizontal="left" vertical="center" wrapText="1"/>
    </xf>
    <xf numFmtId="3" fontId="21" fillId="0" borderId="130" xfId="14" applyFont="1" applyFill="1" applyBorder="1" applyAlignment="1">
      <alignment horizontal="left" vertical="center" wrapText="1"/>
    </xf>
    <xf numFmtId="3" fontId="21" fillId="0" borderId="131" xfId="14" applyFont="1" applyFill="1" applyBorder="1" applyAlignment="1">
      <alignment horizontal="center" vertical="center"/>
    </xf>
    <xf numFmtId="172" fontId="21" fillId="0" borderId="131" xfId="4" applyFont="1" applyFill="1" applyBorder="1" applyAlignment="1" applyProtection="1">
      <alignment horizontal="center" vertical="center"/>
    </xf>
    <xf numFmtId="49" fontId="21" fillId="0" borderId="132" xfId="27" applyNumberFormat="1" applyFont="1" applyFill="1" applyBorder="1" applyAlignment="1" applyProtection="1">
      <alignment horizontal="center" vertical="center"/>
    </xf>
    <xf numFmtId="3" fontId="21" fillId="0" borderId="64" xfId="14" applyFont="1" applyFill="1" applyBorder="1" applyAlignment="1">
      <alignment horizontal="left" vertical="center" wrapText="1"/>
    </xf>
    <xf numFmtId="3" fontId="21" fillId="0" borderId="65" xfId="14" applyFont="1" applyFill="1" applyBorder="1" applyAlignment="1">
      <alignment horizontal="center" vertical="center"/>
    </xf>
    <xf numFmtId="172" fontId="21" fillId="0" borderId="65" xfId="4" applyFont="1" applyFill="1" applyBorder="1" applyAlignment="1" applyProtection="1">
      <alignment horizontal="center" vertical="center"/>
    </xf>
    <xf numFmtId="49" fontId="21" fillId="0" borderId="21" xfId="27" applyNumberFormat="1" applyFont="1" applyFill="1" applyBorder="1" applyAlignment="1" applyProtection="1">
      <alignment horizontal="center" vertical="center"/>
    </xf>
    <xf numFmtId="0" fontId="21" fillId="0" borderId="15" xfId="13" applyFont="1" applyFill="1" applyBorder="1" applyAlignment="1">
      <alignment wrapText="1"/>
    </xf>
    <xf numFmtId="49" fontId="21" fillId="0" borderId="16" xfId="27" applyNumberFormat="1" applyFont="1" applyFill="1" applyBorder="1" applyAlignment="1" applyProtection="1">
      <alignment horizontal="center"/>
    </xf>
    <xf numFmtId="0" fontId="33" fillId="7" borderId="26" xfId="0" applyFont="1" applyFill="1" applyBorder="1" applyAlignment="1">
      <alignment wrapText="1"/>
    </xf>
    <xf numFmtId="49" fontId="22" fillId="0" borderId="18" xfId="0" applyNumberFormat="1" applyFont="1" applyFill="1" applyBorder="1" applyAlignment="1">
      <alignment horizontal="center" vertical="top"/>
    </xf>
    <xf numFmtId="49" fontId="21" fillId="0" borderId="61" xfId="13" applyNumberFormat="1" applyFont="1" applyFill="1" applyBorder="1" applyAlignment="1">
      <alignment horizontal="center"/>
    </xf>
    <xf numFmtId="0" fontId="21" fillId="0" borderId="15" xfId="13" applyFont="1" applyFill="1" applyBorder="1" applyAlignment="1">
      <alignment vertical="center" wrapText="1"/>
    </xf>
    <xf numFmtId="3" fontId="21" fillId="0" borderId="44" xfId="14" applyFont="1" applyFill="1" applyBorder="1" applyAlignment="1">
      <alignment horizontal="left" vertical="center" wrapText="1"/>
    </xf>
    <xf numFmtId="0" fontId="33" fillId="7" borderId="133" xfId="0" applyFont="1" applyFill="1" applyBorder="1" applyAlignment="1">
      <alignment wrapText="1"/>
    </xf>
    <xf numFmtId="3" fontId="21" fillId="0" borderId="3" xfId="14" applyFont="1" applyFill="1" applyBorder="1" applyAlignment="1">
      <alignment horizontal="center" vertical="center"/>
    </xf>
    <xf numFmtId="3" fontId="21" fillId="0" borderId="14" xfId="14" applyFont="1" applyFill="1" applyBorder="1" applyAlignment="1">
      <alignment horizontal="left" vertical="center" wrapText="1"/>
    </xf>
    <xf numFmtId="0" fontId="21" fillId="0" borderId="131" xfId="13" applyFont="1" applyFill="1" applyBorder="1" applyAlignment="1">
      <alignment horizontal="center" vertical="center"/>
    </xf>
    <xf numFmtId="3" fontId="5" fillId="2" borderId="143" xfId="14" applyFont="1" applyFill="1" applyBorder="1" applyAlignment="1">
      <alignment horizontal="left" wrapText="1"/>
    </xf>
    <xf numFmtId="3" fontId="5" fillId="2" borderId="144" xfId="14" applyFont="1" applyFill="1" applyBorder="1" applyAlignment="1">
      <alignment horizontal="center"/>
    </xf>
    <xf numFmtId="174" fontId="5" fillId="2" borderId="144" xfId="14" applyNumberFormat="1" applyFont="1" applyFill="1" applyBorder="1" applyAlignment="1">
      <alignment horizontal="right"/>
    </xf>
    <xf numFmtId="175" fontId="5" fillId="2" borderId="144" xfId="14" applyNumberFormat="1" applyFont="1" applyFill="1" applyBorder="1" applyAlignment="1">
      <alignment horizontal="right"/>
    </xf>
    <xf numFmtId="4" fontId="5" fillId="2" borderId="144" xfId="14" applyNumberFormat="1" applyFont="1" applyFill="1" applyBorder="1" applyAlignment="1">
      <alignment horizontal="center"/>
    </xf>
    <xf numFmtId="2" fontId="5" fillId="11" borderId="2" xfId="0" applyNumberFormat="1" applyFont="1" applyFill="1" applyBorder="1" applyAlignment="1">
      <alignment horizontal="center"/>
    </xf>
    <xf numFmtId="0" fontId="21" fillId="0" borderId="145" xfId="13" applyFont="1" applyFill="1" applyBorder="1" applyAlignment="1">
      <alignment horizontal="left" vertical="center" wrapText="1"/>
    </xf>
    <xf numFmtId="0" fontId="21" fillId="0" borderId="144" xfId="13" applyFont="1" applyFill="1" applyBorder="1" applyAlignment="1">
      <alignment horizontal="center" vertical="center"/>
    </xf>
    <xf numFmtId="172" fontId="21" fillId="0" borderId="144" xfId="4" applyFont="1" applyFill="1" applyBorder="1" applyAlignment="1" applyProtection="1">
      <alignment horizontal="center" vertical="center"/>
    </xf>
    <xf numFmtId="49" fontId="21" fillId="0" borderId="146" xfId="27" applyNumberFormat="1" applyFont="1" applyFill="1" applyBorder="1" applyAlignment="1" applyProtection="1">
      <alignment horizontal="center" vertical="center"/>
    </xf>
    <xf numFmtId="49" fontId="7" fillId="6" borderId="147" xfId="27" applyNumberFormat="1" applyFont="1" applyFill="1" applyBorder="1" applyAlignment="1" applyProtection="1">
      <alignment horizontal="center" vertical="center"/>
    </xf>
    <xf numFmtId="49" fontId="22" fillId="0" borderId="0" xfId="0" applyNumberFormat="1" applyFont="1" applyBorder="1"/>
    <xf numFmtId="49" fontId="7" fillId="0" borderId="0" xfId="27" applyNumberFormat="1" applyFont="1" applyFill="1" applyBorder="1" applyAlignment="1" applyProtection="1">
      <alignment horizontal="center" vertical="center"/>
    </xf>
    <xf numFmtId="0" fontId="0" fillId="0" borderId="148" xfId="0" applyFont="1" applyBorder="1"/>
    <xf numFmtId="49" fontId="7" fillId="6" borderId="147" xfId="27" applyNumberFormat="1" applyFont="1" applyFill="1" applyBorder="1" applyAlignment="1" applyProtection="1">
      <alignment horizontal="left" vertical="center"/>
    </xf>
    <xf numFmtId="0" fontId="0" fillId="4" borderId="65" xfId="0" applyFill="1" applyBorder="1" applyAlignment="1">
      <alignment horizontal="center"/>
    </xf>
    <xf numFmtId="0" fontId="5" fillId="2" borderId="150" xfId="0" applyFont="1" applyFill="1" applyBorder="1" applyAlignment="1">
      <alignment horizontal="left" vertical="center"/>
    </xf>
    <xf numFmtId="174" fontId="5" fillId="2" borderId="151" xfId="0" applyNumberFormat="1" applyFont="1" applyFill="1" applyBorder="1" applyAlignment="1">
      <alignment horizontal="left" vertical="center"/>
    </xf>
    <xf numFmtId="0" fontId="5" fillId="2" borderId="152" xfId="0" applyFont="1" applyFill="1" applyBorder="1" applyAlignment="1">
      <alignment horizontal="center" wrapText="1"/>
    </xf>
    <xf numFmtId="0" fontId="5" fillId="2" borderId="153" xfId="0" applyFont="1" applyFill="1" applyBorder="1" applyAlignment="1">
      <alignment horizontal="center"/>
    </xf>
    <xf numFmtId="175" fontId="5" fillId="2" borderId="153" xfId="0" applyNumberFormat="1" applyFont="1" applyFill="1" applyBorder="1" applyAlignment="1">
      <alignment horizontal="right"/>
    </xf>
    <xf numFmtId="174" fontId="5" fillId="2" borderId="154" xfId="0" applyNumberFormat="1" applyFont="1" applyFill="1" applyBorder="1" applyAlignment="1">
      <alignment horizontal="center"/>
    </xf>
    <xf numFmtId="0" fontId="5" fillId="2" borderId="137" xfId="0" applyFont="1" applyFill="1" applyBorder="1" applyAlignment="1">
      <alignment wrapText="1"/>
    </xf>
    <xf numFmtId="0" fontId="5" fillId="2" borderId="135" xfId="0" applyFont="1" applyFill="1" applyBorder="1" applyAlignment="1">
      <alignment horizontal="center"/>
    </xf>
    <xf numFmtId="175" fontId="5" fillId="2" borderId="135" xfId="0" applyNumberFormat="1" applyFont="1" applyFill="1" applyBorder="1" applyAlignment="1">
      <alignment horizontal="right"/>
    </xf>
    <xf numFmtId="4" fontId="5" fillId="2" borderId="135" xfId="0" applyNumberFormat="1" applyFont="1" applyFill="1" applyBorder="1" applyAlignment="1">
      <alignment horizontal="center"/>
    </xf>
    <xf numFmtId="2" fontId="5" fillId="0" borderId="136" xfId="0" applyNumberFormat="1" applyFont="1" applyFill="1" applyBorder="1" applyAlignment="1"/>
    <xf numFmtId="2" fontId="5" fillId="2" borderId="136" xfId="0" applyNumberFormat="1" applyFont="1" applyFill="1" applyBorder="1" applyAlignment="1"/>
    <xf numFmtId="0" fontId="5" fillId="2" borderId="115" xfId="0" applyFont="1" applyFill="1" applyBorder="1" applyAlignment="1">
      <alignment horizontal="center" vertical="center" wrapText="1"/>
    </xf>
    <xf numFmtId="0" fontId="5" fillId="2" borderId="113" xfId="0" applyFont="1" applyFill="1" applyBorder="1" applyAlignment="1">
      <alignment horizontal="right" vertical="center"/>
    </xf>
    <xf numFmtId="0" fontId="5" fillId="2" borderId="113" xfId="0" applyFont="1" applyFill="1" applyBorder="1" applyAlignment="1">
      <alignment horizontal="center" vertical="center"/>
    </xf>
    <xf numFmtId="174" fontId="5" fillId="2" borderId="114" xfId="0" applyNumberFormat="1" applyFont="1" applyFill="1" applyBorder="1" applyAlignment="1">
      <alignment horizontal="center"/>
    </xf>
    <xf numFmtId="0" fontId="5" fillId="2" borderId="115" xfId="0" applyFont="1" applyFill="1" applyBorder="1" applyAlignment="1">
      <alignment horizontal="left" vertical="center" wrapText="1"/>
    </xf>
    <xf numFmtId="0" fontId="5" fillId="2" borderId="156" xfId="0" applyFont="1" applyFill="1" applyBorder="1" applyAlignment="1">
      <alignment horizontal="center"/>
    </xf>
    <xf numFmtId="174" fontId="5" fillId="2" borderId="156" xfId="0" applyNumberFormat="1" applyFont="1" applyFill="1" applyBorder="1" applyAlignment="1">
      <alignment horizontal="right"/>
    </xf>
    <xf numFmtId="175" fontId="5" fillId="2" borderId="113" xfId="0" applyNumberFormat="1" applyFont="1" applyFill="1" applyBorder="1" applyAlignment="1">
      <alignment horizontal="right" vertical="center"/>
    </xf>
    <xf numFmtId="2" fontId="5" fillId="11" borderId="113" xfId="0" applyNumberFormat="1" applyFont="1" applyFill="1" applyBorder="1" applyAlignment="1">
      <alignment horizontal="center"/>
    </xf>
    <xf numFmtId="2" fontId="5" fillId="2" borderId="114" xfId="0" applyNumberFormat="1" applyFont="1" applyFill="1" applyBorder="1" applyAlignment="1"/>
    <xf numFmtId="0" fontId="5" fillId="2" borderId="117" xfId="0" applyFont="1" applyFill="1" applyBorder="1" applyAlignment="1">
      <alignment horizontal="center" wrapText="1"/>
    </xf>
    <xf numFmtId="0" fontId="5" fillId="2" borderId="113" xfId="0" applyFont="1" applyFill="1" applyBorder="1" applyAlignment="1">
      <alignment horizontal="center"/>
    </xf>
    <xf numFmtId="175" fontId="5" fillId="2" borderId="113" xfId="0" applyNumberFormat="1" applyFont="1" applyFill="1" applyBorder="1" applyAlignment="1">
      <alignment horizontal="right"/>
    </xf>
    <xf numFmtId="0" fontId="5" fillId="2" borderId="115" xfId="0" applyFont="1" applyFill="1" applyBorder="1" applyAlignment="1">
      <alignment horizontal="left" wrapText="1"/>
    </xf>
    <xf numFmtId="174" fontId="5" fillId="0" borderId="113" xfId="0" applyNumberFormat="1" applyFont="1" applyFill="1" applyBorder="1" applyAlignment="1">
      <alignment horizontal="right"/>
    </xf>
    <xf numFmtId="0" fontId="5" fillId="0" borderId="113" xfId="0" applyFont="1" applyFill="1" applyBorder="1" applyAlignment="1">
      <alignment horizontal="center"/>
    </xf>
    <xf numFmtId="175" fontId="5" fillId="0" borderId="113" xfId="0" applyNumberFormat="1" applyFont="1" applyFill="1" applyBorder="1" applyAlignment="1">
      <alignment horizontal="right"/>
    </xf>
    <xf numFmtId="4" fontId="5" fillId="2" borderId="113" xfId="0" applyNumberFormat="1" applyFont="1" applyFill="1" applyBorder="1" applyAlignment="1">
      <alignment horizontal="center"/>
    </xf>
    <xf numFmtId="2" fontId="5" fillId="0" borderId="114" xfId="0" applyNumberFormat="1" applyFont="1" applyFill="1" applyBorder="1" applyAlignment="1"/>
    <xf numFmtId="2" fontId="5" fillId="2" borderId="157" xfId="0" applyNumberFormat="1" applyFont="1" applyFill="1" applyBorder="1" applyAlignment="1"/>
    <xf numFmtId="176" fontId="5" fillId="2" borderId="113" xfId="0" applyNumberFormat="1" applyFont="1" applyFill="1" applyBorder="1" applyAlignment="1">
      <alignment horizontal="right" vertical="center"/>
    </xf>
    <xf numFmtId="2" fontId="5" fillId="2" borderId="114" xfId="0" applyNumberFormat="1" applyFont="1" applyFill="1" applyBorder="1" applyAlignment="1">
      <alignment vertical="center"/>
    </xf>
    <xf numFmtId="2" fontId="5" fillId="2" borderId="117" xfId="0" applyNumberFormat="1" applyFont="1" applyFill="1" applyBorder="1" applyAlignment="1">
      <alignment vertical="center" wrapText="1"/>
    </xf>
    <xf numFmtId="10" fontId="5" fillId="2" borderId="104" xfId="0" applyNumberFormat="1" applyFont="1" applyFill="1" applyBorder="1" applyAlignment="1">
      <alignment vertical="center"/>
    </xf>
    <xf numFmtId="2" fontId="5" fillId="2" borderId="104" xfId="0" applyNumberFormat="1" applyFont="1" applyFill="1" applyBorder="1" applyAlignment="1">
      <alignment vertical="center"/>
    </xf>
    <xf numFmtId="2" fontId="5" fillId="2" borderId="116" xfId="0" applyNumberFormat="1" applyFont="1" applyFill="1" applyBorder="1" applyAlignment="1">
      <alignment vertical="center"/>
    </xf>
    <xf numFmtId="4" fontId="5" fillId="2" borderId="114" xfId="14" applyNumberFormat="1" applyFont="1" applyFill="1" applyBorder="1" applyAlignment="1">
      <alignment vertical="center"/>
    </xf>
    <xf numFmtId="0" fontId="8" fillId="0" borderId="96" xfId="7" applyFont="1" applyFill="1" applyBorder="1" applyAlignment="1">
      <alignment horizontal="center" vertical="center"/>
    </xf>
    <xf numFmtId="0" fontId="8" fillId="0" borderId="69" xfId="7" applyFont="1" applyFill="1" applyBorder="1" applyAlignment="1">
      <alignment horizontal="center" vertical="center"/>
    </xf>
    <xf numFmtId="0" fontId="8" fillId="0" borderId="97" xfId="7" applyFont="1" applyFill="1" applyBorder="1" applyAlignment="1">
      <alignment horizontal="center" vertical="center"/>
    </xf>
    <xf numFmtId="0" fontId="6" fillId="0" borderId="96" xfId="7" applyFont="1" applyFill="1" applyBorder="1" applyAlignment="1">
      <alignment horizontal="center" vertical="center" wrapText="1"/>
    </xf>
    <xf numFmtId="0" fontId="6" fillId="0" borderId="69" xfId="7" applyFont="1" applyFill="1" applyBorder="1" applyAlignment="1">
      <alignment horizontal="center" vertical="center" wrapText="1"/>
    </xf>
    <xf numFmtId="0" fontId="6" fillId="0" borderId="97" xfId="7" applyFont="1" applyFill="1" applyBorder="1" applyAlignment="1">
      <alignment horizontal="center" vertical="center" wrapText="1"/>
    </xf>
    <xf numFmtId="0" fontId="9" fillId="0" borderId="98" xfId="7" applyFont="1" applyFill="1" applyBorder="1" applyAlignment="1">
      <alignment horizontal="center" vertical="center"/>
    </xf>
    <xf numFmtId="0" fontId="9" fillId="0" borderId="72" xfId="7" applyFont="1" applyFill="1" applyBorder="1" applyAlignment="1">
      <alignment horizontal="center" vertical="center"/>
    </xf>
    <xf numFmtId="0" fontId="9" fillId="0" borderId="99" xfId="7" applyFont="1" applyFill="1" applyBorder="1" applyAlignment="1">
      <alignment horizontal="center" vertical="center"/>
    </xf>
    <xf numFmtId="172" fontId="9" fillId="2" borderId="100" xfId="4" applyFont="1" applyFill="1" applyBorder="1" applyAlignment="1" applyProtection="1">
      <alignment horizontal="center" vertical="center"/>
    </xf>
    <xf numFmtId="172" fontId="9" fillId="2" borderId="73" xfId="4" applyFont="1" applyFill="1" applyBorder="1" applyAlignment="1" applyProtection="1">
      <alignment horizontal="center" vertical="center"/>
    </xf>
    <xf numFmtId="172" fontId="9" fillId="2" borderId="101" xfId="4" applyFont="1" applyFill="1" applyBorder="1" applyAlignment="1" applyProtection="1">
      <alignment horizontal="center" vertical="center"/>
    </xf>
    <xf numFmtId="0" fontId="6" fillId="3" borderId="57" xfId="7" applyFont="1" applyFill="1" applyBorder="1" applyAlignment="1">
      <alignment horizontal="left" vertical="center" wrapText="1"/>
    </xf>
    <xf numFmtId="0" fontId="6" fillId="3" borderId="0" xfId="7" applyFont="1" applyFill="1" applyBorder="1" applyAlignment="1">
      <alignment horizontal="left" vertical="center" wrapText="1"/>
    </xf>
    <xf numFmtId="0" fontId="6" fillId="3" borderId="95" xfId="7" applyFont="1" applyFill="1" applyBorder="1" applyAlignment="1">
      <alignment horizontal="left" vertical="center" wrapText="1"/>
    </xf>
    <xf numFmtId="0" fontId="6" fillId="3" borderId="13" xfId="7" applyFont="1" applyFill="1" applyBorder="1" applyAlignment="1">
      <alignment horizontal="left" vertical="center" wrapText="1"/>
    </xf>
    <xf numFmtId="0" fontId="6" fillId="2" borderId="57" xfId="7" applyFont="1" applyFill="1" applyBorder="1" applyAlignment="1">
      <alignment horizontal="center" vertical="center" wrapText="1"/>
    </xf>
    <xf numFmtId="0" fontId="6" fillId="2" borderId="0" xfId="7" applyFont="1" applyFill="1" applyBorder="1" applyAlignment="1">
      <alignment horizontal="center" vertical="center" wrapText="1"/>
    </xf>
    <xf numFmtId="0" fontId="6" fillId="2" borderId="95" xfId="7" applyFont="1" applyFill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95" xfId="0" applyFont="1" applyBorder="1" applyAlignment="1">
      <alignment horizontal="center" vertical="center" wrapText="1"/>
    </xf>
    <xf numFmtId="0" fontId="8" fillId="2" borderId="102" xfId="7" applyFont="1" applyFill="1" applyBorder="1" applyAlignment="1">
      <alignment horizontal="center" vertical="center"/>
    </xf>
    <xf numFmtId="0" fontId="8" fillId="2" borderId="75" xfId="7" applyFont="1" applyFill="1" applyBorder="1" applyAlignment="1">
      <alignment horizontal="center" vertical="center"/>
    </xf>
    <xf numFmtId="0" fontId="8" fillId="2" borderId="74" xfId="7" applyFont="1" applyFill="1" applyBorder="1" applyAlignment="1">
      <alignment horizontal="center" vertical="center"/>
    </xf>
    <xf numFmtId="0" fontId="8" fillId="2" borderId="103" xfId="7" applyFont="1" applyFill="1" applyBorder="1" applyAlignment="1">
      <alignment horizontal="center" vertical="center"/>
    </xf>
    <xf numFmtId="0" fontId="6" fillId="2" borderId="13" xfId="7" applyFont="1" applyFill="1" applyBorder="1" applyAlignment="1">
      <alignment horizontal="center" vertical="center"/>
    </xf>
    <xf numFmtId="2" fontId="6" fillId="2" borderId="3" xfId="21" applyNumberFormat="1" applyFont="1" applyFill="1" applyBorder="1" applyAlignment="1" applyProtection="1">
      <alignment horizontal="center" vertical="center"/>
      <protection locked="0"/>
    </xf>
    <xf numFmtId="4" fontId="6" fillId="2" borderId="2" xfId="21" applyNumberFormat="1" applyFont="1" applyFill="1" applyBorder="1" applyAlignment="1" applyProtection="1">
      <alignment horizontal="center" vertical="center"/>
    </xf>
    <xf numFmtId="4" fontId="6" fillId="2" borderId="16" xfId="21" applyNumberFormat="1" applyFont="1" applyFill="1" applyBorder="1" applyAlignment="1" applyProtection="1">
      <alignment horizontal="center" vertical="center"/>
    </xf>
    <xf numFmtId="0" fontId="6" fillId="2" borderId="44" xfId="7" applyFont="1" applyFill="1" applyBorder="1" applyAlignment="1">
      <alignment horizontal="center" vertical="center"/>
    </xf>
    <xf numFmtId="0" fontId="6" fillId="2" borderId="14" xfId="7" applyFont="1" applyFill="1" applyBorder="1" applyAlignment="1">
      <alignment horizontal="center" vertical="center"/>
    </xf>
    <xf numFmtId="0" fontId="6" fillId="2" borderId="13" xfId="7" applyFont="1" applyFill="1" applyBorder="1" applyAlignment="1">
      <alignment horizontal="center" vertical="center" wrapText="1"/>
    </xf>
    <xf numFmtId="4" fontId="34" fillId="0" borderId="34" xfId="13" applyNumberFormat="1" applyFont="1" applyBorder="1" applyAlignment="1">
      <alignment horizontal="right"/>
    </xf>
    <xf numFmtId="4" fontId="14" fillId="0" borderId="107" xfId="7" applyNumberFormat="1" applyFont="1" applyFill="1" applyBorder="1" applyAlignment="1">
      <alignment horizontal="center" vertical="center"/>
    </xf>
    <xf numFmtId="4" fontId="14" fillId="0" borderId="14" xfId="7" applyNumberFormat="1" applyFont="1" applyFill="1" applyBorder="1" applyAlignment="1">
      <alignment horizontal="center" vertical="center"/>
    </xf>
    <xf numFmtId="4" fontId="7" fillId="0" borderId="26" xfId="7" applyNumberFormat="1" applyFont="1" applyFill="1" applyBorder="1" applyAlignment="1">
      <alignment horizontal="center" vertical="center"/>
    </xf>
    <xf numFmtId="4" fontId="7" fillId="0" borderId="13" xfId="7" applyNumberFormat="1" applyFont="1" applyFill="1" applyBorder="1" applyAlignment="1">
      <alignment horizontal="center" vertical="center"/>
    </xf>
    <xf numFmtId="4" fontId="7" fillId="0" borderId="18" xfId="7" applyNumberFormat="1" applyFont="1" applyFill="1" applyBorder="1" applyAlignment="1">
      <alignment horizontal="center" vertical="center"/>
    </xf>
    <xf numFmtId="4" fontId="13" fillId="0" borderId="27" xfId="7" applyNumberFormat="1" applyFont="1" applyFill="1" applyBorder="1" applyAlignment="1">
      <alignment horizontal="center" vertical="center"/>
    </xf>
    <xf numFmtId="4" fontId="13" fillId="0" borderId="23" xfId="7" applyNumberFormat="1" applyFont="1" applyFill="1" applyBorder="1" applyAlignment="1">
      <alignment horizontal="center" vertical="center"/>
    </xf>
    <xf numFmtId="4" fontId="13" fillId="0" borderId="24" xfId="7" applyNumberFormat="1" applyFont="1" applyFill="1" applyBorder="1" applyAlignment="1">
      <alignment horizontal="center" vertical="center"/>
    </xf>
    <xf numFmtId="0" fontId="6" fillId="0" borderId="76" xfId="7" applyFont="1" applyFill="1" applyBorder="1" applyAlignment="1">
      <alignment horizontal="center" vertical="center" wrapText="1"/>
    </xf>
    <xf numFmtId="0" fontId="6" fillId="0" borderId="77" xfId="7" applyFont="1" applyFill="1" applyBorder="1" applyAlignment="1">
      <alignment horizontal="center" vertical="center" wrapText="1"/>
    </xf>
    <xf numFmtId="0" fontId="6" fillId="0" borderId="78" xfId="7" applyFont="1" applyFill="1" applyBorder="1" applyAlignment="1">
      <alignment horizontal="center" vertical="center" wrapText="1"/>
    </xf>
    <xf numFmtId="0" fontId="10" fillId="0" borderId="76" xfId="7" applyFont="1" applyFill="1" applyBorder="1" applyAlignment="1">
      <alignment horizontal="center" vertical="center" wrapText="1"/>
    </xf>
    <xf numFmtId="0" fontId="10" fillId="0" borderId="77" xfId="7" applyFont="1" applyFill="1" applyBorder="1" applyAlignment="1">
      <alignment horizontal="center" vertical="center" wrapText="1"/>
    </xf>
    <xf numFmtId="0" fontId="10" fillId="0" borderId="78" xfId="7" applyFont="1" applyFill="1" applyBorder="1" applyAlignment="1">
      <alignment horizontal="center" vertical="center" wrapText="1"/>
    </xf>
    <xf numFmtId="4" fontId="14" fillId="0" borderId="76" xfId="5" applyNumberFormat="1" applyFont="1" applyFill="1" applyBorder="1" applyAlignment="1" applyProtection="1">
      <alignment horizontal="center" vertical="center"/>
    </xf>
    <xf numFmtId="4" fontId="14" fillId="0" borderId="77" xfId="5" applyNumberFormat="1" applyFont="1" applyFill="1" applyBorder="1" applyAlignment="1" applyProtection="1">
      <alignment horizontal="center" vertical="center"/>
    </xf>
    <xf numFmtId="4" fontId="14" fillId="0" borderId="78" xfId="5" applyNumberFormat="1" applyFont="1" applyFill="1" applyBorder="1" applyAlignment="1" applyProtection="1">
      <alignment horizontal="center" vertical="center"/>
    </xf>
    <xf numFmtId="4" fontId="14" fillId="0" borderId="7" xfId="7" applyNumberFormat="1" applyFont="1" applyFill="1" applyBorder="1" applyAlignment="1">
      <alignment horizontal="center" vertical="center"/>
    </xf>
    <xf numFmtId="4" fontId="14" fillId="0" borderId="113" xfId="7" applyNumberFormat="1" applyFont="1" applyFill="1" applyBorder="1" applyAlignment="1">
      <alignment horizontal="center" vertical="center"/>
    </xf>
    <xf numFmtId="4" fontId="14" fillId="0" borderId="112" xfId="21" applyNumberFormat="1" applyFont="1" applyFill="1" applyBorder="1" applyAlignment="1" applyProtection="1">
      <alignment horizontal="center" vertical="center"/>
      <protection locked="0"/>
    </xf>
    <xf numFmtId="4" fontId="14" fillId="0" borderId="7" xfId="21" applyNumberFormat="1" applyFont="1" applyFill="1" applyBorder="1" applyAlignment="1" applyProtection="1">
      <alignment horizontal="center" vertical="center"/>
      <protection locked="0"/>
    </xf>
    <xf numFmtId="4" fontId="14" fillId="0" borderId="7" xfId="21" applyNumberFormat="1" applyFont="1" applyFill="1" applyBorder="1" applyAlignment="1" applyProtection="1">
      <alignment horizontal="center" vertical="center"/>
    </xf>
    <xf numFmtId="4" fontId="14" fillId="0" borderId="42" xfId="21" applyNumberFormat="1" applyFont="1" applyFill="1" applyBorder="1" applyAlignment="1" applyProtection="1">
      <alignment horizontal="center" vertical="center"/>
    </xf>
    <xf numFmtId="4" fontId="14" fillId="0" borderId="112" xfId="7" applyNumberFormat="1" applyFont="1" applyFill="1" applyBorder="1" applyAlignment="1">
      <alignment horizontal="center" vertical="center" wrapText="1"/>
    </xf>
    <xf numFmtId="4" fontId="14" fillId="0" borderId="7" xfId="7" applyNumberFormat="1" applyFont="1" applyFill="1" applyBorder="1" applyAlignment="1">
      <alignment horizontal="center" vertical="center" wrapText="1"/>
    </xf>
    <xf numFmtId="4" fontId="32" fillId="2" borderId="0" xfId="14" applyNumberFormat="1" applyFont="1" applyFill="1" applyBorder="1" applyAlignment="1">
      <alignment horizontal="left" vertical="center" wrapText="1"/>
    </xf>
    <xf numFmtId="2" fontId="4" fillId="9" borderId="38" xfId="0" applyNumberFormat="1" applyFont="1" applyFill="1" applyBorder="1" applyAlignment="1">
      <alignment horizontal="left" vertical="center"/>
    </xf>
    <xf numFmtId="2" fontId="4" fillId="9" borderId="19" xfId="0" applyNumberFormat="1" applyFont="1" applyFill="1" applyBorder="1" applyAlignment="1">
      <alignment horizontal="left" vertical="center"/>
    </xf>
    <xf numFmtId="0" fontId="29" fillId="0" borderId="137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9" fillId="0" borderId="137" xfId="0" applyFont="1" applyBorder="1" applyAlignment="1">
      <alignment horizontal="right" vertical="center"/>
    </xf>
    <xf numFmtId="0" fontId="29" fillId="0" borderId="13" xfId="0" applyFont="1" applyBorder="1" applyAlignment="1">
      <alignment horizontal="right" vertical="center"/>
    </xf>
    <xf numFmtId="0" fontId="29" fillId="9" borderId="13" xfId="0" applyFont="1" applyFill="1" applyBorder="1" applyAlignment="1">
      <alignment horizontal="right" vertical="center"/>
    </xf>
    <xf numFmtId="2" fontId="28" fillId="9" borderId="137" xfId="0" applyNumberFormat="1" applyFont="1" applyFill="1" applyBorder="1" applyAlignment="1">
      <alignment horizontal="right" vertical="center"/>
    </xf>
    <xf numFmtId="2" fontId="28" fillId="9" borderId="13" xfId="0" applyNumberFormat="1" applyFont="1" applyFill="1" applyBorder="1" applyAlignment="1">
      <alignment horizontal="right" vertical="center"/>
    </xf>
    <xf numFmtId="2" fontId="29" fillId="9" borderId="137" xfId="0" applyNumberFormat="1" applyFont="1" applyFill="1" applyBorder="1" applyAlignment="1">
      <alignment horizontal="left" vertical="center"/>
    </xf>
    <xf numFmtId="2" fontId="29" fillId="9" borderId="13" xfId="0" applyNumberFormat="1" applyFont="1" applyFill="1" applyBorder="1" applyAlignment="1">
      <alignment horizontal="left" vertical="center"/>
    </xf>
    <xf numFmtId="0" fontId="5" fillId="10" borderId="13" xfId="0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 wrapText="1"/>
    </xf>
    <xf numFmtId="3" fontId="5" fillId="2" borderId="15" xfId="14" applyFont="1" applyFill="1" applyBorder="1" applyAlignment="1">
      <alignment horizontal="left" vertical="center" wrapText="1"/>
    </xf>
    <xf numFmtId="3" fontId="5" fillId="2" borderId="2" xfId="14" applyFont="1" applyFill="1" applyBorder="1" applyAlignment="1">
      <alignment horizontal="left" vertical="center" wrapText="1"/>
    </xf>
    <xf numFmtId="3" fontId="5" fillId="2" borderId="22" xfId="14" applyFont="1" applyFill="1" applyBorder="1" applyAlignment="1">
      <alignment horizontal="center" vertical="center"/>
    </xf>
    <xf numFmtId="3" fontId="5" fillId="2" borderId="129" xfId="14" applyFont="1" applyFill="1" applyBorder="1" applyAlignment="1">
      <alignment horizontal="center" vertical="center"/>
    </xf>
    <xf numFmtId="0" fontId="5" fillId="0" borderId="137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3" fontId="4" fillId="0" borderId="15" xfId="14" applyFont="1" applyFill="1" applyBorder="1" applyAlignment="1">
      <alignment horizontal="center"/>
    </xf>
    <xf numFmtId="3" fontId="4" fillId="0" borderId="2" xfId="14" applyFont="1" applyFill="1" applyBorder="1" applyAlignment="1">
      <alignment horizontal="center"/>
    </xf>
    <xf numFmtId="3" fontId="4" fillId="0" borderId="16" xfId="14" applyFont="1" applyFill="1" applyBorder="1" applyAlignment="1">
      <alignment horizontal="center"/>
    </xf>
    <xf numFmtId="3" fontId="5" fillId="2" borderId="15" xfId="14" applyFont="1" applyFill="1" applyBorder="1" applyAlignment="1">
      <alignment horizontal="right" vertical="center"/>
    </xf>
    <xf numFmtId="3" fontId="5" fillId="2" borderId="2" xfId="14" applyFont="1" applyFill="1" applyBorder="1" applyAlignment="1">
      <alignment horizontal="right" vertical="center"/>
    </xf>
    <xf numFmtId="3" fontId="5" fillId="2" borderId="37" xfId="14" applyFont="1" applyFill="1" applyBorder="1" applyAlignment="1">
      <alignment horizontal="left" vertical="center"/>
    </xf>
    <xf numFmtId="3" fontId="5" fillId="2" borderId="105" xfId="14" applyFont="1" applyFill="1" applyBorder="1" applyAlignment="1">
      <alignment horizontal="left" vertical="center"/>
    </xf>
    <xf numFmtId="3" fontId="5" fillId="2" borderId="106" xfId="14" applyFont="1" applyFill="1" applyBorder="1" applyAlignment="1">
      <alignment horizontal="left" vertical="center"/>
    </xf>
    <xf numFmtId="3" fontId="5" fillId="2" borderId="139" xfId="14" applyFont="1" applyFill="1" applyBorder="1" applyAlignment="1">
      <alignment horizontal="center" vertical="center"/>
    </xf>
    <xf numFmtId="3" fontId="5" fillId="2" borderId="149" xfId="14" applyFont="1" applyFill="1" applyBorder="1" applyAlignment="1">
      <alignment horizontal="center" vertical="center"/>
    </xf>
    <xf numFmtId="2" fontId="4" fillId="2" borderId="117" xfId="0" applyNumberFormat="1" applyFont="1" applyFill="1" applyBorder="1" applyAlignment="1">
      <alignment horizontal="left" vertical="center"/>
    </xf>
    <xf numFmtId="2" fontId="4" fillId="2" borderId="104" xfId="0" applyNumberFormat="1" applyFont="1" applyFill="1" applyBorder="1" applyAlignment="1">
      <alignment horizontal="left" vertical="center"/>
    </xf>
    <xf numFmtId="2" fontId="4" fillId="2" borderId="116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2" fontId="5" fillId="2" borderId="17" xfId="14" applyNumberFormat="1" applyFont="1" applyFill="1" applyBorder="1" applyAlignment="1">
      <alignment horizontal="right" vertical="center"/>
    </xf>
    <xf numFmtId="2" fontId="5" fillId="2" borderId="6" xfId="14" applyNumberFormat="1" applyFont="1" applyFill="1" applyBorder="1" applyAlignment="1">
      <alignment horizontal="right" vertical="center"/>
    </xf>
    <xf numFmtId="2" fontId="5" fillId="2" borderId="3" xfId="14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3" fontId="5" fillId="2" borderId="68" xfId="14" applyFont="1" applyFill="1" applyBorder="1" applyAlignment="1">
      <alignment horizontal="left" vertical="center"/>
    </xf>
    <xf numFmtId="3" fontId="5" fillId="2" borderId="39" xfId="14" applyFont="1" applyFill="1" applyBorder="1" applyAlignment="1">
      <alignment horizontal="left" vertical="center"/>
    </xf>
    <xf numFmtId="0" fontId="5" fillId="2" borderId="113" xfId="0" applyFont="1" applyFill="1" applyBorder="1" applyAlignment="1">
      <alignment horizontal="right" vertical="center"/>
    </xf>
    <xf numFmtId="2" fontId="4" fillId="2" borderId="83" xfId="14" applyNumberFormat="1" applyFont="1" applyFill="1" applyBorder="1" applyAlignment="1">
      <alignment horizontal="left" vertical="center"/>
    </xf>
    <xf numFmtId="2" fontId="4" fillId="2" borderId="84" xfId="14" applyNumberFormat="1" applyFont="1" applyFill="1" applyBorder="1" applyAlignment="1">
      <alignment horizontal="left" vertical="center"/>
    </xf>
    <xf numFmtId="0" fontId="4" fillId="0" borderId="145" xfId="0" applyFont="1" applyFill="1" applyBorder="1" applyAlignment="1">
      <alignment horizontal="center"/>
    </xf>
    <xf numFmtId="0" fontId="4" fillId="0" borderId="144" xfId="0" applyFont="1" applyFill="1" applyBorder="1" applyAlignment="1">
      <alignment horizontal="center"/>
    </xf>
    <xf numFmtId="0" fontId="4" fillId="0" borderId="146" xfId="0" applyFont="1" applyFill="1" applyBorder="1" applyAlignment="1">
      <alignment horizontal="center"/>
    </xf>
    <xf numFmtId="2" fontId="5" fillId="2" borderId="117" xfId="14" applyNumberFormat="1" applyFont="1" applyFill="1" applyBorder="1" applyAlignment="1">
      <alignment horizontal="right" vertical="center"/>
    </xf>
    <xf numFmtId="2" fontId="5" fillId="2" borderId="104" xfId="14" applyNumberFormat="1" applyFont="1" applyFill="1" applyBorder="1" applyAlignment="1">
      <alignment horizontal="right" vertical="center"/>
    </xf>
    <xf numFmtId="2" fontId="5" fillId="2" borderId="116" xfId="14" applyNumberFormat="1" applyFont="1" applyFill="1" applyBorder="1" applyAlignment="1">
      <alignment horizontal="right" vertical="center"/>
    </xf>
    <xf numFmtId="0" fontId="4" fillId="4" borderId="6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3" fontId="5" fillId="2" borderId="145" xfId="14" applyFont="1" applyFill="1" applyBorder="1" applyAlignment="1">
      <alignment horizontal="left" vertical="center" wrapText="1"/>
    </xf>
    <xf numFmtId="3" fontId="5" fillId="2" borderId="144" xfId="14" applyFont="1" applyFill="1" applyBorder="1" applyAlignment="1">
      <alignment horizontal="left" vertical="center" wrapText="1"/>
    </xf>
    <xf numFmtId="0" fontId="5" fillId="2" borderId="145" xfId="0" applyFont="1" applyFill="1" applyBorder="1" applyAlignment="1">
      <alignment horizontal="left" vertical="top" wrapText="1"/>
    </xf>
    <xf numFmtId="0" fontId="5" fillId="2" borderId="144" xfId="0" applyFont="1" applyFill="1" applyBorder="1" applyAlignment="1">
      <alignment horizontal="left" vertical="top" wrapText="1"/>
    </xf>
    <xf numFmtId="0" fontId="5" fillId="2" borderId="137" xfId="0" applyFont="1" applyFill="1" applyBorder="1" applyAlignment="1">
      <alignment horizontal="right" vertical="center"/>
    </xf>
    <xf numFmtId="0" fontId="5" fillId="2" borderId="135" xfId="0" applyFont="1" applyFill="1" applyBorder="1" applyAlignment="1">
      <alignment horizontal="right" vertical="center"/>
    </xf>
    <xf numFmtId="0" fontId="4" fillId="0" borderId="155" xfId="0" applyFont="1" applyFill="1" applyBorder="1" applyAlignment="1">
      <alignment horizontal="center"/>
    </xf>
    <xf numFmtId="0" fontId="4" fillId="0" borderId="156" xfId="0" applyFont="1" applyFill="1" applyBorder="1" applyAlignment="1">
      <alignment horizontal="center"/>
    </xf>
    <xf numFmtId="0" fontId="4" fillId="0" borderId="157" xfId="0" applyFont="1" applyFill="1" applyBorder="1" applyAlignment="1">
      <alignment horizontal="center"/>
    </xf>
    <xf numFmtId="0" fontId="5" fillId="2" borderId="115" xfId="0" applyFont="1" applyFill="1" applyBorder="1" applyAlignment="1">
      <alignment horizontal="right" vertical="center"/>
    </xf>
    <xf numFmtId="0" fontId="4" fillId="0" borderId="115" xfId="0" applyFont="1" applyFill="1" applyBorder="1" applyAlignment="1">
      <alignment horizontal="center"/>
    </xf>
    <xf numFmtId="0" fontId="4" fillId="0" borderId="113" xfId="0" applyFont="1" applyFill="1" applyBorder="1" applyAlignment="1">
      <alignment horizontal="center"/>
    </xf>
    <xf numFmtId="0" fontId="4" fillId="0" borderId="114" xfId="0" applyFont="1" applyFill="1" applyBorder="1" applyAlignment="1">
      <alignment horizontal="center"/>
    </xf>
    <xf numFmtId="3" fontId="5" fillId="2" borderId="15" xfId="14" applyFont="1" applyFill="1" applyBorder="1" applyAlignment="1">
      <alignment horizontal="left" vertical="top" wrapText="1"/>
    </xf>
    <xf numFmtId="3" fontId="5" fillId="2" borderId="2" xfId="14" applyFont="1" applyFill="1" applyBorder="1" applyAlignment="1">
      <alignment horizontal="left" vertical="top" wrapText="1"/>
    </xf>
    <xf numFmtId="3" fontId="5" fillId="2" borderId="4" xfId="14" applyFont="1" applyFill="1" applyBorder="1" applyAlignment="1">
      <alignment horizontal="right" vertical="center"/>
    </xf>
    <xf numFmtId="2" fontId="4" fillId="2" borderId="85" xfId="14" applyNumberFormat="1" applyFont="1" applyFill="1" applyBorder="1" applyAlignment="1">
      <alignment horizontal="left" vertical="center"/>
    </xf>
    <xf numFmtId="2" fontId="4" fillId="2" borderId="86" xfId="14" applyNumberFormat="1" applyFont="1" applyFill="1" applyBorder="1" applyAlignment="1">
      <alignment horizontal="left" vertical="center"/>
    </xf>
    <xf numFmtId="3" fontId="4" fillId="4" borderId="49" xfId="0" applyNumberFormat="1" applyFont="1" applyFill="1" applyBorder="1" applyAlignment="1">
      <alignment horizontal="center" vertical="center" wrapText="1"/>
    </xf>
    <xf numFmtId="3" fontId="4" fillId="4" borderId="50" xfId="0" applyNumberFormat="1" applyFont="1" applyFill="1" applyBorder="1" applyAlignment="1">
      <alignment horizontal="center" vertical="center" wrapText="1"/>
    </xf>
    <xf numFmtId="3" fontId="5" fillId="2" borderId="94" xfId="14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2" fontId="4" fillId="2" borderId="17" xfId="0" applyNumberFormat="1" applyFont="1" applyFill="1" applyBorder="1" applyAlignment="1">
      <alignment horizontal="left" vertical="center"/>
    </xf>
    <xf numFmtId="2" fontId="4" fillId="2" borderId="6" xfId="0" applyNumberFormat="1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left" vertical="center"/>
    </xf>
    <xf numFmtId="0" fontId="28" fillId="9" borderId="37" xfId="0" applyFont="1" applyFill="1" applyBorder="1" applyAlignment="1">
      <alignment horizontal="left" vertical="top" wrapText="1"/>
    </xf>
    <xf numFmtId="0" fontId="28" fillId="9" borderId="22" xfId="0" applyFont="1" applyFill="1" applyBorder="1" applyAlignment="1">
      <alignment horizontal="left" vertical="top" wrapText="1"/>
    </xf>
    <xf numFmtId="0" fontId="29" fillId="9" borderId="137" xfId="0" applyFont="1" applyFill="1" applyBorder="1" applyAlignment="1">
      <alignment horizontal="right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87" xfId="0" applyFont="1" applyFill="1" applyBorder="1" applyAlignment="1">
      <alignment horizontal="center" vertical="center" wrapText="1"/>
    </xf>
    <xf numFmtId="3" fontId="5" fillId="2" borderId="14" xfId="14" applyFont="1" applyFill="1" applyBorder="1" applyAlignment="1">
      <alignment horizontal="left" vertical="center" wrapText="1"/>
    </xf>
    <xf numFmtId="3" fontId="5" fillId="2" borderId="7" xfId="14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3" fontId="5" fillId="2" borderId="26" xfId="14" applyFont="1" applyFill="1" applyBorder="1" applyAlignment="1">
      <alignment horizontal="right" vertical="center"/>
    </xf>
    <xf numFmtId="3" fontId="5" fillId="2" borderId="13" xfId="14" applyFont="1" applyFill="1" applyBorder="1" applyAlignment="1">
      <alignment horizontal="right" vertical="center"/>
    </xf>
    <xf numFmtId="3" fontId="4" fillId="0" borderId="26" xfId="14" applyFont="1" applyFill="1" applyBorder="1" applyAlignment="1">
      <alignment horizontal="center"/>
    </xf>
    <xf numFmtId="3" fontId="4" fillId="0" borderId="13" xfId="14" applyFont="1" applyFill="1" applyBorder="1" applyAlignment="1">
      <alignment horizontal="center"/>
    </xf>
    <xf numFmtId="3" fontId="4" fillId="0" borderId="18" xfId="14" applyFont="1" applyFill="1" applyBorder="1" applyAlignment="1">
      <alignment horizontal="center"/>
    </xf>
    <xf numFmtId="2" fontId="4" fillId="2" borderId="38" xfId="14" applyNumberFormat="1" applyFont="1" applyFill="1" applyBorder="1" applyAlignment="1">
      <alignment horizontal="left" vertical="center"/>
    </xf>
    <xf numFmtId="2" fontId="4" fillId="2" borderId="19" xfId="14" applyNumberFormat="1" applyFont="1" applyFill="1" applyBorder="1" applyAlignment="1">
      <alignment horizontal="left" vertical="center"/>
    </xf>
    <xf numFmtId="2" fontId="5" fillId="2" borderId="22" xfId="0" applyNumberFormat="1" applyFont="1" applyFill="1" applyBorder="1" applyAlignment="1">
      <alignment horizontal="center" vertical="center"/>
    </xf>
    <xf numFmtId="2" fontId="5" fillId="2" borderId="105" xfId="0" applyNumberFormat="1" applyFont="1" applyFill="1" applyBorder="1" applyAlignment="1">
      <alignment horizontal="center" vertical="center"/>
    </xf>
    <xf numFmtId="2" fontId="5" fillId="2" borderId="106" xfId="0" applyNumberFormat="1" applyFont="1" applyFill="1" applyBorder="1" applyAlignment="1">
      <alignment horizontal="center" vertical="center"/>
    </xf>
    <xf numFmtId="2" fontId="5" fillId="2" borderId="26" xfId="14" applyNumberFormat="1" applyFont="1" applyFill="1" applyBorder="1" applyAlignment="1">
      <alignment horizontal="right" vertical="center"/>
    </xf>
    <xf numFmtId="2" fontId="5" fillId="2" borderId="13" xfId="14" applyNumberFormat="1" applyFont="1" applyFill="1" applyBorder="1" applyAlignment="1">
      <alignment horizontal="right" vertical="center"/>
    </xf>
    <xf numFmtId="0" fontId="28" fillId="8" borderId="135" xfId="0" applyFont="1" applyFill="1" applyBorder="1" applyAlignment="1">
      <alignment horizontal="center" vertical="center" wrapText="1"/>
    </xf>
    <xf numFmtId="0" fontId="28" fillId="8" borderId="136" xfId="0" applyFont="1" applyFill="1" applyBorder="1" applyAlignment="1">
      <alignment horizontal="center" vertical="center" wrapText="1"/>
    </xf>
    <xf numFmtId="2" fontId="4" fillId="2" borderId="130" xfId="14" applyNumberFormat="1" applyFont="1" applyFill="1" applyBorder="1" applyAlignment="1">
      <alignment horizontal="left" vertical="center"/>
    </xf>
    <xf numFmtId="2" fontId="4" fillId="2" borderId="131" xfId="14" applyNumberFormat="1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3" fontId="5" fillId="2" borderId="26" xfId="14" applyFont="1" applyFill="1" applyBorder="1" applyAlignment="1">
      <alignment horizontal="left" vertical="center" wrapText="1"/>
    </xf>
    <xf numFmtId="3" fontId="5" fillId="2" borderId="13" xfId="14" applyFont="1" applyFill="1" applyBorder="1" applyAlignment="1">
      <alignment horizontal="left" vertical="center" wrapText="1"/>
    </xf>
    <xf numFmtId="3" fontId="5" fillId="2" borderId="26" xfId="14" applyFont="1" applyFill="1" applyBorder="1" applyAlignment="1">
      <alignment horizontal="left" vertical="top" wrapText="1"/>
    </xf>
    <xf numFmtId="3" fontId="5" fillId="2" borderId="13" xfId="14" applyFont="1" applyFill="1" applyBorder="1" applyAlignment="1">
      <alignment horizontal="left" vertical="top" wrapText="1"/>
    </xf>
    <xf numFmtId="0" fontId="29" fillId="9" borderId="140" xfId="0" applyFont="1" applyFill="1" applyBorder="1" applyAlignment="1">
      <alignment horizontal="right" vertical="center"/>
    </xf>
    <xf numFmtId="0" fontId="29" fillId="9" borderId="134" xfId="0" applyFont="1" applyFill="1" applyBorder="1" applyAlignment="1">
      <alignment horizontal="right" vertical="center"/>
    </xf>
    <xf numFmtId="0" fontId="28" fillId="9" borderId="135" xfId="0" applyFont="1" applyFill="1" applyBorder="1" applyAlignment="1">
      <alignment horizontal="right" vertical="center"/>
    </xf>
    <xf numFmtId="2" fontId="29" fillId="9" borderId="135" xfId="0" applyNumberFormat="1" applyFont="1" applyFill="1" applyBorder="1" applyAlignment="1">
      <alignment horizontal="right" vertical="center"/>
    </xf>
    <xf numFmtId="2" fontId="29" fillId="9" borderId="135" xfId="0" applyNumberFormat="1" applyFont="1" applyFill="1" applyBorder="1" applyAlignment="1">
      <alignment horizontal="left" vertical="center"/>
    </xf>
    <xf numFmtId="3" fontId="5" fillId="2" borderId="141" xfId="14" applyFont="1" applyFill="1" applyBorder="1" applyAlignment="1">
      <alignment horizontal="left" vertical="center"/>
    </xf>
    <xf numFmtId="3" fontId="5" fillId="2" borderId="142" xfId="14" applyFont="1" applyFill="1" applyBorder="1" applyAlignment="1">
      <alignment horizontal="left" vertical="center"/>
    </xf>
    <xf numFmtId="0" fontId="5" fillId="10" borderId="135" xfId="0" applyFont="1" applyFill="1" applyBorder="1" applyAlignment="1">
      <alignment horizontal="center" vertical="center" wrapText="1"/>
    </xf>
    <xf numFmtId="0" fontId="18" fillId="4" borderId="70" xfId="0" applyFont="1" applyFill="1" applyBorder="1" applyAlignment="1">
      <alignment horizontal="center" vertical="center" wrapText="1"/>
    </xf>
    <xf numFmtId="0" fontId="18" fillId="4" borderId="88" xfId="0" applyFont="1" applyFill="1" applyBorder="1" applyAlignment="1">
      <alignment horizontal="center" vertical="center" wrapText="1"/>
    </xf>
    <xf numFmtId="0" fontId="4" fillId="4" borderId="89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71" xfId="0" applyFont="1" applyFill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justify" wrapText="1"/>
    </xf>
    <xf numFmtId="0" fontId="23" fillId="0" borderId="34" xfId="0" applyFont="1" applyBorder="1" applyAlignment="1">
      <alignment horizontal="center" vertical="justify" wrapText="1"/>
    </xf>
    <xf numFmtId="0" fontId="23" fillId="0" borderId="71" xfId="0" applyFont="1" applyBorder="1" applyAlignment="1">
      <alignment horizontal="center" vertical="justify" wrapText="1"/>
    </xf>
    <xf numFmtId="0" fontId="6" fillId="5" borderId="90" xfId="0" applyFont="1" applyFill="1" applyBorder="1" applyAlignment="1">
      <alignment horizontal="center" vertical="center"/>
    </xf>
    <xf numFmtId="0" fontId="6" fillId="5" borderId="91" xfId="0" applyFont="1" applyFill="1" applyBorder="1" applyAlignment="1">
      <alignment horizontal="center" vertical="center"/>
    </xf>
    <xf numFmtId="0" fontId="6" fillId="5" borderId="9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/>
    </xf>
    <xf numFmtId="0" fontId="6" fillId="5" borderId="5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0" borderId="70" xfId="7" applyFont="1" applyFill="1" applyBorder="1" applyAlignment="1">
      <alignment horizontal="center" vertical="center" wrapText="1"/>
    </xf>
    <xf numFmtId="0" fontId="6" fillId="0" borderId="34" xfId="7" applyFont="1" applyFill="1" applyBorder="1" applyAlignment="1">
      <alignment horizontal="center" vertical="center" wrapText="1"/>
    </xf>
    <xf numFmtId="0" fontId="6" fillId="0" borderId="71" xfId="7" applyFont="1" applyFill="1" applyBorder="1" applyAlignment="1">
      <alignment horizontal="center" vertical="center" wrapText="1"/>
    </xf>
    <xf numFmtId="0" fontId="6" fillId="0" borderId="93" xfId="7" applyFont="1" applyFill="1" applyBorder="1" applyAlignment="1">
      <alignment horizontal="center" vertical="center"/>
    </xf>
    <xf numFmtId="0" fontId="6" fillId="0" borderId="79" xfId="7" applyFont="1" applyFill="1" applyBorder="1" applyAlignment="1">
      <alignment horizontal="center" vertical="center"/>
    </xf>
    <xf numFmtId="0" fontId="6" fillId="0" borderId="82" xfId="7" applyFont="1" applyFill="1" applyBorder="1" applyAlignment="1">
      <alignment horizontal="center" vertical="center"/>
    </xf>
    <xf numFmtId="0" fontId="39" fillId="0" borderId="93" xfId="13" applyFont="1" applyFill="1" applyBorder="1" applyAlignment="1">
      <alignment horizontal="center" wrapText="1"/>
    </xf>
    <xf numFmtId="0" fontId="39" fillId="0" borderId="79" xfId="13" applyFont="1" applyFill="1" applyBorder="1" applyAlignment="1">
      <alignment horizontal="center" wrapText="1"/>
    </xf>
    <xf numFmtId="0" fontId="39" fillId="0" borderId="82" xfId="13" applyFont="1" applyFill="1" applyBorder="1" applyAlignment="1">
      <alignment horizontal="center" wrapText="1"/>
    </xf>
    <xf numFmtId="0" fontId="36" fillId="0" borderId="22" xfId="0" applyFont="1" applyFill="1" applyBorder="1" applyAlignment="1">
      <alignment horizontal="center"/>
    </xf>
    <xf numFmtId="0" fontId="36" fillId="0" borderId="105" xfId="0" applyFont="1" applyFill="1" applyBorder="1" applyAlignment="1">
      <alignment horizontal="center"/>
    </xf>
    <xf numFmtId="0" fontId="36" fillId="0" borderId="106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05" xfId="0" applyFont="1" applyBorder="1" applyAlignment="1">
      <alignment horizontal="center"/>
    </xf>
    <xf numFmtId="0" fontId="9" fillId="0" borderId="106" xfId="0" applyFont="1" applyBorder="1" applyAlignment="1">
      <alignment horizontal="center"/>
    </xf>
    <xf numFmtId="0" fontId="6" fillId="0" borderId="37" xfId="16" applyFont="1" applyBorder="1" applyAlignment="1">
      <alignment horizontal="center"/>
    </xf>
    <xf numFmtId="0" fontId="6" fillId="0" borderId="141" xfId="16" applyFont="1" applyBorder="1" applyAlignment="1">
      <alignment horizontal="center"/>
    </xf>
    <xf numFmtId="0" fontId="6" fillId="0" borderId="149" xfId="16" applyFont="1" applyBorder="1" applyAlignment="1">
      <alignment horizontal="center"/>
    </xf>
    <xf numFmtId="0" fontId="6" fillId="0" borderId="142" xfId="16" applyFont="1" applyBorder="1" applyAlignment="1"/>
    <xf numFmtId="178" fontId="22" fillId="0" borderId="136" xfId="16" applyNumberFormat="1" applyBorder="1"/>
    <xf numFmtId="0" fontId="0" fillId="0" borderId="135" xfId="16" applyFont="1" applyBorder="1"/>
    <xf numFmtId="0" fontId="6" fillId="0" borderId="135" xfId="16" applyFont="1" applyBorder="1"/>
    <xf numFmtId="178" fontId="6" fillId="0" borderId="136" xfId="16" applyNumberFormat="1" applyFont="1" applyBorder="1"/>
    <xf numFmtId="178" fontId="22" fillId="0" borderId="136" xfId="16" applyNumberFormat="1" applyBorder="1" applyAlignment="1">
      <alignment horizontal="right"/>
    </xf>
    <xf numFmtId="178" fontId="6" fillId="0" borderId="136" xfId="16" applyNumberFormat="1" applyFont="1" applyBorder="1" applyAlignment="1">
      <alignment horizontal="right"/>
    </xf>
    <xf numFmtId="0" fontId="22" fillId="0" borderId="135" xfId="16" applyFont="1" applyBorder="1"/>
    <xf numFmtId="0" fontId="6" fillId="0" borderId="28" xfId="16" applyFont="1" applyBorder="1" applyAlignment="1">
      <alignment vertical="center"/>
    </xf>
    <xf numFmtId="0" fontId="6" fillId="0" borderId="23" xfId="16" applyFont="1" applyBorder="1" applyAlignment="1">
      <alignment horizontal="center" vertical="center"/>
    </xf>
    <xf numFmtId="178" fontId="6" fillId="0" borderId="24" xfId="16" applyNumberFormat="1" applyFont="1" applyBorder="1" applyAlignment="1">
      <alignment horizontal="center"/>
    </xf>
    <xf numFmtId="0" fontId="22" fillId="0" borderId="136" xfId="16" applyBorder="1"/>
    <xf numFmtId="0" fontId="0" fillId="0" borderId="135" xfId="16" applyFont="1" applyBorder="1" applyAlignment="1">
      <alignment wrapText="1"/>
    </xf>
    <xf numFmtId="0" fontId="6" fillId="0" borderId="140" xfId="16" applyFont="1" applyBorder="1" applyAlignment="1">
      <alignment horizontal="center"/>
    </xf>
    <xf numFmtId="178" fontId="6" fillId="0" borderId="158" xfId="16" applyNumberFormat="1" applyFont="1" applyBorder="1"/>
    <xf numFmtId="4" fontId="33" fillId="0" borderId="13" xfId="0" applyNumberFormat="1" applyFont="1" applyFill="1" applyBorder="1" applyAlignment="1">
      <alignment horizontal="right"/>
    </xf>
    <xf numFmtId="4" fontId="33" fillId="7" borderId="18" xfId="0" applyNumberFormat="1" applyFont="1" applyFill="1" applyBorder="1" applyAlignment="1">
      <alignment horizontal="right"/>
    </xf>
    <xf numFmtId="4" fontId="33" fillId="0" borderId="110" xfId="0" applyNumberFormat="1" applyFont="1" applyFill="1" applyBorder="1" applyAlignment="1">
      <alignment horizontal="right"/>
    </xf>
    <xf numFmtId="4" fontId="33" fillId="7" borderId="118" xfId="0" applyNumberFormat="1" applyFont="1" applyFill="1" applyBorder="1" applyAlignment="1">
      <alignment horizontal="right"/>
    </xf>
    <xf numFmtId="178" fontId="6" fillId="0" borderId="122" xfId="16" applyNumberFormat="1" applyFont="1" applyBorder="1" applyAlignment="1">
      <alignment horizontal="center"/>
    </xf>
    <xf numFmtId="178" fontId="22" fillId="0" borderId="139" xfId="16" applyNumberFormat="1" applyBorder="1"/>
    <xf numFmtId="178" fontId="6" fillId="0" borderId="139" xfId="16" applyNumberFormat="1" applyFont="1" applyBorder="1"/>
    <xf numFmtId="178" fontId="22" fillId="0" borderId="139" xfId="16" applyNumberFormat="1" applyBorder="1" applyAlignment="1">
      <alignment horizontal="right"/>
    </xf>
    <xf numFmtId="178" fontId="6" fillId="0" borderId="139" xfId="16" applyNumberFormat="1" applyFont="1" applyBorder="1" applyAlignment="1">
      <alignment horizontal="right"/>
    </xf>
    <xf numFmtId="0" fontId="22" fillId="0" borderId="139" xfId="16" applyBorder="1"/>
    <xf numFmtId="178" fontId="6" fillId="0" borderId="159" xfId="16" applyNumberFormat="1" applyFont="1" applyBorder="1"/>
    <xf numFmtId="178" fontId="6" fillId="0" borderId="70" xfId="16" applyNumberFormat="1" applyFont="1" applyBorder="1"/>
    <xf numFmtId="0" fontId="6" fillId="0" borderId="70" xfId="7" applyFont="1" applyFill="1" applyBorder="1" applyAlignment="1">
      <alignment horizontal="center" vertical="center"/>
    </xf>
    <xf numFmtId="0" fontId="6" fillId="0" borderId="34" xfId="7" applyFont="1" applyFill="1" applyBorder="1" applyAlignment="1">
      <alignment horizontal="center" vertical="center"/>
    </xf>
    <xf numFmtId="0" fontId="6" fillId="0" borderId="71" xfId="7" applyFont="1" applyFill="1" applyBorder="1" applyAlignment="1">
      <alignment horizontal="center" vertical="center"/>
    </xf>
    <xf numFmtId="178" fontId="22" fillId="0" borderId="136" xfId="16" applyNumberFormat="1" applyFont="1" applyBorder="1" applyAlignment="1">
      <alignment horizontal="right"/>
    </xf>
    <xf numFmtId="0" fontId="6" fillId="0" borderId="70" xfId="16" applyFont="1" applyBorder="1" applyAlignment="1">
      <alignment horizontal="center"/>
    </xf>
    <xf numFmtId="0" fontId="6" fillId="0" borderId="71" xfId="16" applyFont="1" applyBorder="1" applyAlignment="1">
      <alignment horizontal="center"/>
    </xf>
  </cellXfs>
  <cellStyles count="29">
    <cellStyle name="Comma 2" xfId="1"/>
    <cellStyle name="Euro" xfId="2"/>
    <cellStyle name="Indefinido" xfId="3"/>
    <cellStyle name="Moeda" xfId="4" builtinId="4"/>
    <cellStyle name="Moeda 2" xfId="5"/>
    <cellStyle name="Normal" xfId="0" builtinId="0"/>
    <cellStyle name="Normal 2" xfId="6"/>
    <cellStyle name="Normal 2 2" xfId="7"/>
    <cellStyle name="Normal 2_Material" xfId="8"/>
    <cellStyle name="Normal 3" xfId="9"/>
    <cellStyle name="Normal 3 2" xfId="10"/>
    <cellStyle name="Normal 3_Material" xfId="11"/>
    <cellStyle name="Normal 4" xfId="12"/>
    <cellStyle name="Normal 5" xfId="13"/>
    <cellStyle name="Normal_Estrutura_de_preço_-_CODEVASF_versão8" xfId="14"/>
    <cellStyle name="Normal_Final" xfId="15"/>
    <cellStyle name="Normal_Planilha de Montagem_Baixio de Irece_100316" xfId="16"/>
    <cellStyle name="Porcentagem 2" xfId="17"/>
    <cellStyle name="Separador de milhares" xfId="18" builtinId="3"/>
    <cellStyle name="Separador de milhares [0] 2" xfId="19"/>
    <cellStyle name="Separador de milhares [0] 3" xfId="20"/>
    <cellStyle name="Separador de milhares 2" xfId="21"/>
    <cellStyle name="Separador de milhares 2 2" xfId="22"/>
    <cellStyle name="Separador de milhares 3" xfId="23"/>
    <cellStyle name="Separador de milhares 3 2" xfId="24"/>
    <cellStyle name="Separador de milhares 4" xfId="25"/>
    <cellStyle name="Separador de milhares 4 2" xfId="26"/>
    <cellStyle name="Separador de milhares 5" xfId="27"/>
    <cellStyle name="Título 1 1" xf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1295400</xdr:colOff>
      <xdr:row>0</xdr:row>
      <xdr:rowOff>0</xdr:rowOff>
    </xdr:from>
    <xdr:to>
      <xdr:col>5</xdr:col>
      <xdr:colOff>704850</xdr:colOff>
      <xdr:row>3</xdr:row>
      <xdr:rowOff>0</xdr:rowOff>
    </xdr:to>
    <xdr:sp macro="" textlink="" fLocksText="0">
      <xdr:nvSpPr>
        <xdr:cNvPr id="2049" name="Text Box 2"/>
        <xdr:cNvSpPr txBox="1">
          <a:spLocks noChangeArrowheads="1"/>
        </xdr:cNvSpPr>
      </xdr:nvSpPr>
      <xdr:spPr bwMode="auto">
        <a:xfrm>
          <a:off x="2705100" y="133350"/>
          <a:ext cx="5257800" cy="5524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  <xdr:twoCellAnchor>
    <xdr:from>
      <xdr:col>0</xdr:col>
      <xdr:colOff>19050</xdr:colOff>
      <xdr:row>0</xdr:row>
      <xdr:rowOff>19050</xdr:rowOff>
    </xdr:from>
    <xdr:to>
      <xdr:col>1</xdr:col>
      <xdr:colOff>1257300</xdr:colOff>
      <xdr:row>2</xdr:row>
      <xdr:rowOff>161925</xdr:rowOff>
    </xdr:to>
    <xdr:pic>
      <xdr:nvPicPr>
        <xdr:cNvPr id="20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90500"/>
          <a:ext cx="2647950" cy="4857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1695450</xdr:colOff>
      <xdr:row>0</xdr:row>
      <xdr:rowOff>38100</xdr:rowOff>
    </xdr:from>
    <xdr:to>
      <xdr:col>6</xdr:col>
      <xdr:colOff>0</xdr:colOff>
      <xdr:row>1</xdr:row>
      <xdr:rowOff>0</xdr:rowOff>
    </xdr:to>
    <xdr:sp macro="" textlink="" fLocksText="0">
      <xdr:nvSpPr>
        <xdr:cNvPr id="3075" name="Text Box 2"/>
        <xdr:cNvSpPr txBox="1">
          <a:spLocks noChangeArrowheads="1"/>
        </xdr:cNvSpPr>
      </xdr:nvSpPr>
      <xdr:spPr bwMode="auto">
        <a:xfrm>
          <a:off x="2733675" y="38100"/>
          <a:ext cx="6638925" cy="742950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  <xdr:twoCellAnchor>
    <xdr:from>
      <xdr:col>0</xdr:col>
      <xdr:colOff>37540</xdr:colOff>
      <xdr:row>0</xdr:row>
      <xdr:rowOff>28575</xdr:rowOff>
    </xdr:from>
    <xdr:to>
      <xdr:col>1</xdr:col>
      <xdr:colOff>1613647</xdr:colOff>
      <xdr:row>0</xdr:row>
      <xdr:rowOff>676275</xdr:rowOff>
    </xdr:to>
    <xdr:pic>
      <xdr:nvPicPr>
        <xdr:cNvPr id="33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540" y="28575"/>
          <a:ext cx="2069166" cy="6477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1524000</xdr:colOff>
      <xdr:row>0</xdr:row>
      <xdr:rowOff>38100</xdr:rowOff>
    </xdr:from>
    <xdr:to>
      <xdr:col>3</xdr:col>
      <xdr:colOff>790575</xdr:colOff>
      <xdr:row>0</xdr:row>
      <xdr:rowOff>514350</xdr:rowOff>
    </xdr:to>
    <xdr:sp macro="" textlink="" fLocksText="0">
      <xdr:nvSpPr>
        <xdr:cNvPr id="9217" name="Text Box 2"/>
        <xdr:cNvSpPr txBox="1">
          <a:spLocks noChangeArrowheads="1"/>
        </xdr:cNvSpPr>
      </xdr:nvSpPr>
      <xdr:spPr bwMode="auto">
        <a:xfrm>
          <a:off x="1933575" y="38100"/>
          <a:ext cx="4305300" cy="476250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  <xdr:twoCellAnchor>
    <xdr:from>
      <xdr:col>0</xdr:col>
      <xdr:colOff>47625</xdr:colOff>
      <xdr:row>0</xdr:row>
      <xdr:rowOff>85725</xdr:rowOff>
    </xdr:from>
    <xdr:to>
      <xdr:col>1</xdr:col>
      <xdr:colOff>1419225</xdr:colOff>
      <xdr:row>0</xdr:row>
      <xdr:rowOff>438150</xdr:rowOff>
    </xdr:to>
    <xdr:pic>
      <xdr:nvPicPr>
        <xdr:cNvPr id="92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85725"/>
          <a:ext cx="1781175" cy="3524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zoomScale="160" zoomScaleNormal="160" zoomScaleSheetLayoutView="145" workbookViewId="0">
      <selection activeCell="B17" sqref="B17"/>
    </sheetView>
  </sheetViews>
  <sheetFormatPr defaultRowHeight="12.75"/>
  <cols>
    <col min="1" max="1" width="7.7109375" style="3" customWidth="1"/>
    <col min="2" max="2" width="50.85546875" style="4" customWidth="1"/>
    <col min="3" max="3" width="6" style="3" customWidth="1"/>
    <col min="4" max="4" width="8.42578125" style="5" customWidth="1"/>
    <col min="5" max="5" width="15.42578125" style="5" customWidth="1"/>
    <col min="6" max="6" width="17" style="6" customWidth="1"/>
    <col min="7" max="7" width="9.28515625" style="101" bestFit="1" customWidth="1"/>
    <col min="8" max="8" width="14.28515625" style="101" bestFit="1" customWidth="1"/>
    <col min="9" max="9" width="15" style="7" customWidth="1"/>
    <col min="10" max="10" width="9.140625" style="7"/>
    <col min="11" max="11" width="15" style="7" bestFit="1" customWidth="1"/>
    <col min="12" max="16384" width="9.140625" style="7"/>
  </cols>
  <sheetData>
    <row r="1" spans="1:11" ht="13.5" thickBot="1">
      <c r="A1" s="486"/>
      <c r="B1" s="487"/>
      <c r="C1" s="487"/>
      <c r="D1" s="487"/>
      <c r="E1" s="487"/>
      <c r="F1" s="488"/>
    </row>
    <row r="2" spans="1:11" ht="13.5" thickBot="1">
      <c r="A2" s="486"/>
      <c r="B2" s="487"/>
      <c r="C2" s="487"/>
      <c r="D2" s="487"/>
      <c r="E2" s="487"/>
      <c r="F2" s="488"/>
    </row>
    <row r="3" spans="1:11" ht="13.5" thickBot="1">
      <c r="A3" s="486"/>
      <c r="B3" s="487"/>
      <c r="C3" s="487"/>
      <c r="D3" s="487"/>
      <c r="E3" s="487"/>
      <c r="F3" s="488"/>
      <c r="J3" s="101"/>
      <c r="K3" s="183"/>
    </row>
    <row r="4" spans="1:11" ht="69.75" customHeight="1" thickBot="1">
      <c r="A4" s="489" t="s">
        <v>492</v>
      </c>
      <c r="B4" s="490"/>
      <c r="C4" s="490"/>
      <c r="D4" s="490"/>
      <c r="E4" s="490"/>
      <c r="F4" s="491"/>
      <c r="H4" s="343" t="s">
        <v>215</v>
      </c>
      <c r="I4" s="344" t="s">
        <v>486</v>
      </c>
    </row>
    <row r="5" spans="1:11" ht="26.25" customHeight="1" thickBot="1">
      <c r="A5" s="492" t="s">
        <v>331</v>
      </c>
      <c r="B5" s="493"/>
      <c r="C5" s="493"/>
      <c r="D5" s="493"/>
      <c r="E5" s="493"/>
      <c r="F5" s="494"/>
      <c r="H5" s="341">
        <f>ROUND((F7*0.1),2)</f>
        <v>90940.79</v>
      </c>
      <c r="I5" s="342" t="str">
        <f>IF(F7&gt;=1500000,"CN","TP")</f>
        <v>TP</v>
      </c>
    </row>
    <row r="6" spans="1:11" ht="18.75" customHeight="1">
      <c r="A6" s="495" t="s">
        <v>70</v>
      </c>
      <c r="B6" s="496"/>
      <c r="C6" s="496"/>
      <c r="D6" s="496"/>
      <c r="E6" s="496"/>
      <c r="F6" s="497"/>
    </row>
    <row r="7" spans="1:11" ht="18.75" customHeight="1">
      <c r="A7" s="257"/>
      <c r="B7" s="8"/>
      <c r="C7" s="8"/>
      <c r="D7" s="9"/>
      <c r="E7" s="352" t="s">
        <v>71</v>
      </c>
      <c r="F7" s="278">
        <f>F8+Materiais!F6</f>
        <v>909407.93919999991</v>
      </c>
      <c r="G7" s="104"/>
      <c r="H7" s="263"/>
      <c r="I7" s="141"/>
    </row>
    <row r="8" spans="1:11" ht="18.75" customHeight="1">
      <c r="A8" s="257"/>
      <c r="B8" s="8"/>
      <c r="C8" s="8"/>
      <c r="E8" s="353" t="s">
        <v>72</v>
      </c>
      <c r="F8" s="258">
        <f>F12+F18</f>
        <v>615097.64919999999</v>
      </c>
      <c r="H8" s="101">
        <f>ROUND((F8/$F$7)*100,2)</f>
        <v>67.64</v>
      </c>
    </row>
    <row r="9" spans="1:11" ht="8.25" customHeight="1">
      <c r="A9" s="508"/>
      <c r="B9" s="509"/>
      <c r="C9" s="509"/>
      <c r="D9" s="510"/>
      <c r="E9" s="510"/>
      <c r="F9" s="511"/>
    </row>
    <row r="10" spans="1:11" ht="12.75" customHeight="1">
      <c r="A10" s="516" t="s">
        <v>59</v>
      </c>
      <c r="B10" s="518" t="s">
        <v>375</v>
      </c>
      <c r="C10" s="512" t="s">
        <v>60</v>
      </c>
      <c r="D10" s="513" t="s">
        <v>61</v>
      </c>
      <c r="E10" s="514" t="s">
        <v>73</v>
      </c>
      <c r="F10" s="515"/>
    </row>
    <row r="11" spans="1:11">
      <c r="A11" s="517"/>
      <c r="B11" s="518"/>
      <c r="C11" s="512"/>
      <c r="D11" s="513"/>
      <c r="E11" s="1" t="s">
        <v>62</v>
      </c>
      <c r="F11" s="259" t="s">
        <v>63</v>
      </c>
      <c r="G11" s="101" t="s">
        <v>485</v>
      </c>
      <c r="H11" s="101" t="s">
        <v>479</v>
      </c>
    </row>
    <row r="12" spans="1:11" ht="17.25" customHeight="1">
      <c r="A12" s="260" t="s">
        <v>74</v>
      </c>
      <c r="B12" s="498" t="s">
        <v>75</v>
      </c>
      <c r="C12" s="499"/>
      <c r="D12" s="499"/>
      <c r="E12" s="500"/>
      <c r="F12" s="261">
        <f>F13+F14+F15+F16+F17</f>
        <v>426457.2892</v>
      </c>
      <c r="G12" s="101">
        <f>ROUND((F12/$F$8)*100,2)</f>
        <v>69.33</v>
      </c>
      <c r="H12" s="340">
        <f>ROUND((F12/$F$7)*100,0)</f>
        <v>47</v>
      </c>
    </row>
    <row r="13" spans="1:11" ht="25.5">
      <c r="A13" s="262" t="s">
        <v>64</v>
      </c>
      <c r="B13" s="223" t="s">
        <v>489</v>
      </c>
      <c r="C13" s="220" t="s">
        <v>76</v>
      </c>
      <c r="D13" s="10">
        <v>2</v>
      </c>
      <c r="E13" s="11">
        <f>C.P.U.!H17</f>
        <v>5525.28</v>
      </c>
      <c r="F13" s="263">
        <f t="shared" ref="F13:F17" si="0">E13*D13</f>
        <v>11050.56</v>
      </c>
      <c r="G13" s="101">
        <f t="shared" ref="G13:G23" si="1">ROUND((F13/$F$8)*100,2)</f>
        <v>1.8</v>
      </c>
      <c r="H13" s="101">
        <f t="shared" ref="H13:H21" si="2">ROUND((F13/$F$7)*100,2)</f>
        <v>1.22</v>
      </c>
    </row>
    <row r="14" spans="1:11" ht="41.25" customHeight="1">
      <c r="A14" s="262" t="s">
        <v>65</v>
      </c>
      <c r="B14" s="223" t="s">
        <v>405</v>
      </c>
      <c r="C14" s="220" t="s">
        <v>76</v>
      </c>
      <c r="D14" s="10">
        <v>2</v>
      </c>
      <c r="E14" s="11">
        <f>ROUND(C.P.U.!H89,2)</f>
        <v>31162.49</v>
      </c>
      <c r="F14" s="263">
        <f>ROUND((E14*D14),2)</f>
        <v>62324.98</v>
      </c>
      <c r="G14" s="101">
        <f t="shared" si="1"/>
        <v>10.130000000000001</v>
      </c>
      <c r="H14" s="101">
        <f t="shared" si="2"/>
        <v>6.85</v>
      </c>
      <c r="I14" s="345"/>
    </row>
    <row r="15" spans="1:11" ht="26.25" customHeight="1">
      <c r="A15" s="262" t="s">
        <v>66</v>
      </c>
      <c r="B15" s="224" t="s">
        <v>490</v>
      </c>
      <c r="C15" s="221" t="s">
        <v>77</v>
      </c>
      <c r="D15" s="10">
        <v>12</v>
      </c>
      <c r="E15" s="12">
        <f>C.P.U.!H112</f>
        <v>348.59709999999995</v>
      </c>
      <c r="F15" s="264">
        <f t="shared" si="0"/>
        <v>4183.1651999999995</v>
      </c>
      <c r="G15" s="101">
        <f t="shared" si="1"/>
        <v>0.68</v>
      </c>
      <c r="H15" s="101">
        <f t="shared" si="2"/>
        <v>0.46</v>
      </c>
      <c r="I15" s="345"/>
    </row>
    <row r="16" spans="1:11" ht="14.25" customHeight="1">
      <c r="A16" s="262" t="s">
        <v>220</v>
      </c>
      <c r="B16" s="225" t="s">
        <v>487</v>
      </c>
      <c r="C16" s="222" t="s">
        <v>79</v>
      </c>
      <c r="D16" s="10">
        <v>12</v>
      </c>
      <c r="E16" s="12">
        <f>C.P.U.!H137</f>
        <v>28434.700333333334</v>
      </c>
      <c r="F16" s="264">
        <f t="shared" si="0"/>
        <v>341216.40399999998</v>
      </c>
      <c r="G16" s="101">
        <f t="shared" si="1"/>
        <v>55.47</v>
      </c>
      <c r="H16" s="101">
        <f t="shared" si="2"/>
        <v>37.520000000000003</v>
      </c>
      <c r="I16" s="345"/>
    </row>
    <row r="17" spans="1:8">
      <c r="A17" s="262" t="s">
        <v>78</v>
      </c>
      <c r="B17" s="253" t="s">
        <v>82</v>
      </c>
      <c r="C17" s="254" t="s">
        <v>76</v>
      </c>
      <c r="D17" s="255">
        <v>2</v>
      </c>
      <c r="E17" s="256">
        <f>C.P.U.!H155</f>
        <v>3841.09</v>
      </c>
      <c r="F17" s="264">
        <f t="shared" si="0"/>
        <v>7682.18</v>
      </c>
      <c r="G17" s="101">
        <f t="shared" si="1"/>
        <v>1.25</v>
      </c>
      <c r="H17" s="101">
        <f t="shared" si="2"/>
        <v>0.84</v>
      </c>
    </row>
    <row r="18" spans="1:8" ht="15.75">
      <c r="A18" s="260" t="s">
        <v>83</v>
      </c>
      <c r="B18" s="501" t="s">
        <v>332</v>
      </c>
      <c r="C18" s="501"/>
      <c r="D18" s="501"/>
      <c r="E18" s="501"/>
      <c r="F18" s="265">
        <f>F19+F22</f>
        <v>188640.36</v>
      </c>
      <c r="G18" s="101">
        <f t="shared" si="1"/>
        <v>30.67</v>
      </c>
      <c r="H18" s="101">
        <f t="shared" si="2"/>
        <v>20.74</v>
      </c>
    </row>
    <row r="19" spans="1:8" ht="15.75">
      <c r="A19" s="262" t="s">
        <v>69</v>
      </c>
      <c r="B19" s="502" t="s">
        <v>84</v>
      </c>
      <c r="C19" s="503"/>
      <c r="D19" s="503"/>
      <c r="E19" s="504"/>
      <c r="F19" s="266">
        <f>F20+F21</f>
        <v>87511.01999999999</v>
      </c>
      <c r="G19" s="101">
        <f t="shared" si="1"/>
        <v>14.23</v>
      </c>
      <c r="H19" s="101">
        <f>ROUND((F19/$F$7)*100,0)</f>
        <v>10</v>
      </c>
    </row>
    <row r="20" spans="1:8" ht="32.25" customHeight="1">
      <c r="A20" s="262" t="s">
        <v>85</v>
      </c>
      <c r="B20" s="226" t="s">
        <v>333</v>
      </c>
      <c r="C20" s="222" t="s">
        <v>76</v>
      </c>
      <c r="D20" s="10">
        <f>'Memória de quantitativos'!D9</f>
        <v>1902</v>
      </c>
      <c r="E20" s="11">
        <f>ROUND(C.P.U.!H176,2)</f>
        <v>17.579999999999998</v>
      </c>
      <c r="F20" s="263">
        <f>E20*D20</f>
        <v>33437.159999999996</v>
      </c>
      <c r="G20" s="101">
        <f t="shared" si="1"/>
        <v>5.44</v>
      </c>
      <c r="H20" s="101">
        <f t="shared" si="2"/>
        <v>3.68</v>
      </c>
    </row>
    <row r="21" spans="1:8" ht="51">
      <c r="A21" s="262" t="s">
        <v>86</v>
      </c>
      <c r="B21" s="227" t="s">
        <v>491</v>
      </c>
      <c r="C21" s="222" t="s">
        <v>76</v>
      </c>
      <c r="D21" s="10">
        <f>'Memória de quantitativos'!D9</f>
        <v>1902</v>
      </c>
      <c r="E21" s="12">
        <f>ROUND(C.P.U.!H188,2)</f>
        <v>28.43</v>
      </c>
      <c r="F21" s="263">
        <f>E21*D21</f>
        <v>54073.86</v>
      </c>
      <c r="G21" s="101">
        <f t="shared" si="1"/>
        <v>8.7899999999999991</v>
      </c>
      <c r="H21" s="101">
        <f t="shared" si="2"/>
        <v>5.95</v>
      </c>
    </row>
    <row r="22" spans="1:8" ht="15.75">
      <c r="A22" s="262" t="s">
        <v>67</v>
      </c>
      <c r="B22" s="505" t="s">
        <v>334</v>
      </c>
      <c r="C22" s="506"/>
      <c r="D22" s="506"/>
      <c r="E22" s="507"/>
      <c r="F22" s="266">
        <f>F23</f>
        <v>101129.34</v>
      </c>
      <c r="G22" s="101">
        <f t="shared" si="1"/>
        <v>16.440000000000001</v>
      </c>
      <c r="H22" s="101">
        <f>ROUND((F22/$F$7)*100,2)</f>
        <v>11.12</v>
      </c>
    </row>
    <row r="23" spans="1:8" ht="39" thickBot="1">
      <c r="A23" s="267" t="s">
        <v>88</v>
      </c>
      <c r="B23" s="268" t="s">
        <v>376</v>
      </c>
      <c r="C23" s="269" t="s">
        <v>76</v>
      </c>
      <c r="D23" s="270">
        <f>'Memória de quantitativos'!D9</f>
        <v>1902</v>
      </c>
      <c r="E23" s="271">
        <f>C.P.U.!H210</f>
        <v>53.17</v>
      </c>
      <c r="F23" s="272">
        <f>E23*D23</f>
        <v>101129.34</v>
      </c>
      <c r="G23" s="101">
        <f t="shared" si="1"/>
        <v>16.440000000000001</v>
      </c>
      <c r="H23" s="101">
        <f>ROUND((F23/$F$7)*100,0)</f>
        <v>11</v>
      </c>
    </row>
    <row r="24" spans="1:8">
      <c r="A24" s="13"/>
      <c r="B24" s="14"/>
      <c r="C24" s="13"/>
      <c r="D24" s="15"/>
      <c r="E24" s="16"/>
      <c r="F24" s="14"/>
    </row>
    <row r="25" spans="1:8" ht="56.25" customHeight="1"/>
  </sheetData>
  <mergeCells count="14">
    <mergeCell ref="B18:E18"/>
    <mergeCell ref="B19:E19"/>
    <mergeCell ref="B22:E22"/>
    <mergeCell ref="A9:F9"/>
    <mergeCell ref="C10:C11"/>
    <mergeCell ref="D10:D11"/>
    <mergeCell ref="E10:F10"/>
    <mergeCell ref="A10:A11"/>
    <mergeCell ref="B10:B11"/>
    <mergeCell ref="A1:F3"/>
    <mergeCell ref="A4:F4"/>
    <mergeCell ref="A5:F5"/>
    <mergeCell ref="A6:F6"/>
    <mergeCell ref="B12:E12"/>
  </mergeCells>
  <phoneticPr fontId="11" type="noConversion"/>
  <printOptions horizontalCentered="1"/>
  <pageMargins left="0.78740157480314965" right="0.19685039370078741" top="1.5748031496062993" bottom="0.78740157480314965" header="0.51181102362204722" footer="0.51181102362204722"/>
  <pageSetup paperSize="9" scale="80" firstPageNumber="0" orientation="portrait" horizontalDpi="300" verticalDpi="300" r:id="rId1"/>
  <headerFooter alignWithMargins="0">
    <oddFooter>&amp;CPágina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3:D9"/>
  <sheetViews>
    <sheetView workbookViewId="0">
      <selection activeCell="D7" sqref="D7:D8"/>
    </sheetView>
  </sheetViews>
  <sheetFormatPr defaultRowHeight="12.75"/>
  <cols>
    <col min="1" max="1" width="26.42578125" customWidth="1"/>
    <col min="2" max="3" width="29" bestFit="1" customWidth="1"/>
    <col min="4" max="4" width="24.7109375" bestFit="1" customWidth="1"/>
  </cols>
  <sheetData>
    <row r="3" spans="1:4" ht="15.75">
      <c r="A3" s="703" t="s">
        <v>414</v>
      </c>
      <c r="B3" s="704"/>
      <c r="C3" s="704"/>
      <c r="D3" s="705"/>
    </row>
    <row r="4" spans="1:4" ht="15.75">
      <c r="A4" s="274" t="s">
        <v>411</v>
      </c>
      <c r="B4" s="274" t="s">
        <v>409</v>
      </c>
      <c r="C4" s="274" t="s">
        <v>410</v>
      </c>
      <c r="D4" s="274" t="s">
        <v>416</v>
      </c>
    </row>
    <row r="5" spans="1:4" ht="15.75">
      <c r="A5" s="274" t="s">
        <v>407</v>
      </c>
      <c r="B5" s="275">
        <v>1435</v>
      </c>
      <c r="C5" s="275">
        <v>115</v>
      </c>
      <c r="D5" s="274">
        <f>B5+C5</f>
        <v>1550</v>
      </c>
    </row>
    <row r="6" spans="1:4" ht="15.75">
      <c r="A6" s="274" t="s">
        <v>408</v>
      </c>
      <c r="B6" s="275">
        <v>133</v>
      </c>
      <c r="C6" s="275">
        <v>18</v>
      </c>
      <c r="D6" s="274">
        <f t="shared" ref="D6:D8" si="0">B6+C6</f>
        <v>151</v>
      </c>
    </row>
    <row r="7" spans="1:4" ht="15.75">
      <c r="A7" s="274" t="s">
        <v>412</v>
      </c>
      <c r="B7" s="275">
        <v>141</v>
      </c>
      <c r="C7" s="275">
        <v>10</v>
      </c>
      <c r="D7" s="274">
        <f>B7+C7</f>
        <v>151</v>
      </c>
    </row>
    <row r="8" spans="1:4" ht="15.75">
      <c r="A8" s="274" t="s">
        <v>413</v>
      </c>
      <c r="B8" s="275">
        <v>45</v>
      </c>
      <c r="C8" s="275">
        <v>5</v>
      </c>
      <c r="D8" s="274">
        <f t="shared" si="0"/>
        <v>50</v>
      </c>
    </row>
    <row r="9" spans="1:4" ht="15.75">
      <c r="A9" s="702" t="s">
        <v>415</v>
      </c>
      <c r="B9" s="702"/>
      <c r="C9" s="702"/>
      <c r="D9" s="274">
        <f>SUM(D5:D8)</f>
        <v>1902</v>
      </c>
    </row>
  </sheetData>
  <mergeCells count="2">
    <mergeCell ref="A9:C9"/>
    <mergeCell ref="A3:D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E58"/>
  <sheetViews>
    <sheetView view="pageBreakPreview" topLeftCell="A10" zoomScale="85" zoomScaleNormal="70" zoomScaleSheetLayoutView="85" workbookViewId="0">
      <selection activeCell="F40" sqref="F40"/>
    </sheetView>
  </sheetViews>
  <sheetFormatPr defaultRowHeight="15"/>
  <cols>
    <col min="1" max="1" width="7.42578125" style="17" customWidth="1"/>
    <col min="2" max="2" width="55.28515625" style="18" customWidth="1"/>
    <col min="3" max="3" width="8.140625" style="17" customWidth="1"/>
    <col min="4" max="4" width="9.85546875" style="18" customWidth="1"/>
    <col min="5" max="5" width="13.5703125" style="18" customWidth="1"/>
    <col min="6" max="6" width="17.140625" style="18" customWidth="1"/>
    <col min="7" max="10" width="14.5703125" style="18" customWidth="1"/>
    <col min="11" max="11" width="9.140625" style="18"/>
    <col min="12" max="12" width="10.85546875" style="18" customWidth="1"/>
    <col min="13" max="13" width="11" style="18" customWidth="1"/>
    <col min="14" max="14" width="11.5703125" style="18" customWidth="1"/>
    <col min="15" max="17" width="11.28515625" style="18" customWidth="1"/>
    <col min="18" max="18" width="13.85546875" style="18" customWidth="1"/>
    <col min="19" max="16384" width="9.140625" style="18"/>
  </cols>
  <sheetData>
    <row r="1" spans="1:239" s="20" customFormat="1" ht="61.5" customHeight="1" thickBot="1">
      <c r="A1" s="525"/>
      <c r="B1" s="526"/>
      <c r="C1" s="526"/>
      <c r="D1" s="526"/>
      <c r="E1" s="526"/>
      <c r="F1" s="527"/>
      <c r="IC1" s="21"/>
      <c r="ID1" s="21"/>
      <c r="IE1" s="21"/>
    </row>
    <row r="2" spans="1:239" s="20" customFormat="1" ht="69" customHeight="1" thickBot="1">
      <c r="A2" s="528" t="str">
        <f>Serviços!A4</f>
        <v>EXECUÇÃO DOS SERVIÇOS E FORNECIMENTOS PARA MONTAGEM E INSTALAÇÃO DE 1.902 (MIL NOVECENTOS E DOIS) CAVALETES HIDRÁULICOS, COMPOSTOS POR VÁLVULAS CONTROLADORAS, HIDRÔMETROS, CONEXÕES E DEMAIS ACESSÓRIOS NAS PARCELAS IRRIGADAS DOS PERÍMETROS DE IRRIGAÇÃO FULGÊNCIO, BRÍGIDA E ICÓ-MANDANTES (BLOCOS 03 E 04), LOCALIZADOS, RESPECTIVAMENTE, NOS MUNICÍPIOS DE SANTA MARIA DA BOA VISTA, OROCÓ E PETROLÂNDIA NO ESTADO PERNAMBUCO</v>
      </c>
      <c r="B2" s="529"/>
      <c r="C2" s="529"/>
      <c r="D2" s="529"/>
      <c r="E2" s="529"/>
      <c r="F2" s="530"/>
      <c r="IC2" s="21"/>
      <c r="ID2" s="21"/>
      <c r="IE2" s="21"/>
    </row>
    <row r="3" spans="1:239" s="20" customFormat="1" ht="26.25" customHeight="1" thickBot="1">
      <c r="A3" s="531" t="str">
        <f>Serviços!A5</f>
        <v>PETROLINA - PE / AGOSTO DE 2013</v>
      </c>
      <c r="B3" s="532"/>
      <c r="C3" s="532"/>
      <c r="D3" s="532"/>
      <c r="E3" s="532"/>
      <c r="F3" s="533"/>
      <c r="HY3" s="21"/>
      <c r="HZ3" s="21"/>
      <c r="IA3" s="21"/>
    </row>
    <row r="4" spans="1:239" s="20" customFormat="1" ht="18.75" customHeight="1" thickBot="1">
      <c r="A4" s="534" t="s">
        <v>91</v>
      </c>
      <c r="B4" s="535"/>
      <c r="C4" s="535"/>
      <c r="D4" s="535"/>
      <c r="E4" s="535"/>
      <c r="F4" s="536"/>
      <c r="HY4" s="21"/>
      <c r="HZ4" s="21"/>
      <c r="IA4" s="21"/>
    </row>
    <row r="5" spans="1:239" s="20" customFormat="1" ht="18.75" customHeight="1">
      <c r="A5" s="282"/>
      <c r="B5" s="283"/>
      <c r="C5" s="283"/>
      <c r="D5" s="311" t="s">
        <v>90</v>
      </c>
      <c r="E5" s="312"/>
      <c r="F5" s="308">
        <f>F27+Serviços!F8</f>
        <v>909407.93919999991</v>
      </c>
      <c r="HY5" s="21"/>
      <c r="HZ5" s="21"/>
      <c r="IA5" s="21"/>
    </row>
    <row r="6" spans="1:239" s="20" customFormat="1" ht="18.75" customHeight="1">
      <c r="A6" s="284"/>
      <c r="B6" s="285"/>
      <c r="C6" s="285"/>
      <c r="D6" s="310" t="s">
        <v>45</v>
      </c>
      <c r="F6" s="309">
        <f>F27</f>
        <v>294310.28999999998</v>
      </c>
      <c r="HY6" s="21"/>
      <c r="HZ6" s="21"/>
      <c r="IA6" s="21"/>
    </row>
    <row r="7" spans="1:239" s="20" customFormat="1" ht="15" customHeight="1">
      <c r="A7" s="522"/>
      <c r="B7" s="523"/>
      <c r="C7" s="523"/>
      <c r="D7" s="523"/>
      <c r="E7" s="523"/>
      <c r="F7" s="524"/>
      <c r="IC7" s="21"/>
      <c r="ID7" s="21"/>
      <c r="IE7" s="21"/>
    </row>
    <row r="8" spans="1:239" s="20" customFormat="1" ht="12.75" customHeight="1">
      <c r="A8" s="520" t="s">
        <v>59</v>
      </c>
      <c r="B8" s="543" t="s">
        <v>432</v>
      </c>
      <c r="C8" s="537" t="s">
        <v>60</v>
      </c>
      <c r="D8" s="539" t="s">
        <v>61</v>
      </c>
      <c r="E8" s="541" t="s">
        <v>436</v>
      </c>
      <c r="F8" s="542"/>
      <c r="IC8" s="21"/>
      <c r="ID8" s="21"/>
      <c r="IE8" s="21"/>
    </row>
    <row r="9" spans="1:239" s="20" customFormat="1" ht="17.25" customHeight="1">
      <c r="A9" s="521"/>
      <c r="B9" s="544"/>
      <c r="C9" s="538"/>
      <c r="D9" s="540"/>
      <c r="E9" s="295" t="s">
        <v>62</v>
      </c>
      <c r="F9" s="296" t="s">
        <v>63</v>
      </c>
      <c r="IC9" s="21"/>
      <c r="ID9" s="21"/>
      <c r="IE9" s="21"/>
    </row>
    <row r="10" spans="1:239" s="20" customFormat="1" ht="15.75">
      <c r="A10" s="297" t="s">
        <v>74</v>
      </c>
      <c r="B10" s="298" t="s">
        <v>419</v>
      </c>
      <c r="C10" s="299"/>
      <c r="D10" s="300"/>
      <c r="E10" s="300"/>
      <c r="F10" s="301"/>
      <c r="IC10" s="21"/>
      <c r="ID10" s="21"/>
      <c r="IE10" s="21"/>
    </row>
    <row r="11" spans="1:239" s="20" customFormat="1" ht="12.75" customHeight="1">
      <c r="A11" s="302"/>
      <c r="B11" s="303"/>
      <c r="C11" s="304"/>
      <c r="D11" s="305"/>
      <c r="E11" s="305"/>
      <c r="F11" s="306"/>
      <c r="IC11" s="21"/>
      <c r="ID11" s="21"/>
      <c r="IE11" s="21"/>
    </row>
    <row r="12" spans="1:239" s="20" customFormat="1" ht="33.75" customHeight="1">
      <c r="A12" s="339" t="s">
        <v>64</v>
      </c>
      <c r="B12" s="307" t="s">
        <v>420</v>
      </c>
      <c r="C12" s="276" t="s">
        <v>30</v>
      </c>
      <c r="D12" s="276">
        <v>3630</v>
      </c>
      <c r="E12" s="724">
        <f>'Insumos cotação'!G3</f>
        <v>4.2</v>
      </c>
      <c r="F12" s="725">
        <f>ROUND((D12*E12),2)</f>
        <v>15246</v>
      </c>
      <c r="IC12" s="21"/>
      <c r="ID12" s="21"/>
      <c r="IE12" s="21"/>
    </row>
    <row r="13" spans="1:239" s="20" customFormat="1" ht="18" customHeight="1">
      <c r="A13" s="339" t="s">
        <v>65</v>
      </c>
      <c r="B13" s="307" t="s">
        <v>421</v>
      </c>
      <c r="C13" s="276" t="s">
        <v>30</v>
      </c>
      <c r="D13" s="276">
        <v>2105</v>
      </c>
      <c r="E13" s="724">
        <f>'Insumos cotação'!G7</f>
        <v>35.9</v>
      </c>
      <c r="F13" s="725">
        <f t="shared" ref="F13:F25" si="0">ROUND((D13*E13),2)</f>
        <v>75569.5</v>
      </c>
      <c r="IC13" s="21"/>
      <c r="ID13" s="21"/>
      <c r="IE13" s="21"/>
    </row>
    <row r="14" spans="1:239" s="20" customFormat="1" ht="39" customHeight="1">
      <c r="A14" s="339" t="s">
        <v>66</v>
      </c>
      <c r="B14" s="307" t="s">
        <v>422</v>
      </c>
      <c r="C14" s="276" t="s">
        <v>30</v>
      </c>
      <c r="D14" s="276">
        <v>35</v>
      </c>
      <c r="E14" s="724">
        <f>'INSUMOS - SINAPI'!C11</f>
        <v>7.68</v>
      </c>
      <c r="F14" s="725">
        <f t="shared" si="0"/>
        <v>268.8</v>
      </c>
      <c r="IC14" s="21"/>
      <c r="ID14" s="21"/>
      <c r="IE14" s="21"/>
    </row>
    <row r="15" spans="1:239" s="20" customFormat="1" ht="45" customHeight="1">
      <c r="A15" s="339" t="s">
        <v>220</v>
      </c>
      <c r="B15" s="307" t="s">
        <v>423</v>
      </c>
      <c r="C15" s="276" t="s">
        <v>30</v>
      </c>
      <c r="D15" s="276">
        <v>935</v>
      </c>
      <c r="E15" s="724">
        <f>'Insumos cotação'!G11</f>
        <v>11.8</v>
      </c>
      <c r="F15" s="725">
        <f t="shared" si="0"/>
        <v>11033</v>
      </c>
      <c r="IC15" s="21"/>
      <c r="ID15" s="21"/>
      <c r="IE15" s="21"/>
    </row>
    <row r="16" spans="1:239" s="20" customFormat="1" ht="21" customHeight="1">
      <c r="A16" s="339" t="s">
        <v>78</v>
      </c>
      <c r="B16" s="307" t="s">
        <v>424</v>
      </c>
      <c r="C16" s="276" t="s">
        <v>30</v>
      </c>
      <c r="D16" s="276">
        <v>12</v>
      </c>
      <c r="E16" s="724">
        <f>'INSUMOS - SINAPI'!C33</f>
        <v>7.85</v>
      </c>
      <c r="F16" s="725">
        <f t="shared" si="0"/>
        <v>94.2</v>
      </c>
      <c r="IC16" s="21"/>
      <c r="ID16" s="21"/>
      <c r="IE16" s="21"/>
    </row>
    <row r="17" spans="1:239" s="20" customFormat="1" ht="35.25" customHeight="1">
      <c r="A17" s="339" t="s">
        <v>80</v>
      </c>
      <c r="B17" s="307" t="s">
        <v>425</v>
      </c>
      <c r="C17" s="276" t="s">
        <v>30</v>
      </c>
      <c r="D17" s="276">
        <v>1115</v>
      </c>
      <c r="E17" s="724">
        <f>'Insumos cotação'!G8</f>
        <v>70.3</v>
      </c>
      <c r="F17" s="725">
        <f t="shared" si="0"/>
        <v>78384.5</v>
      </c>
      <c r="IC17" s="21"/>
      <c r="ID17" s="21"/>
      <c r="IE17" s="21"/>
    </row>
    <row r="18" spans="1:239" s="20" customFormat="1" ht="50.25" customHeight="1">
      <c r="A18" s="339" t="s">
        <v>81</v>
      </c>
      <c r="B18" s="307" t="s">
        <v>426</v>
      </c>
      <c r="C18" s="276" t="s">
        <v>30</v>
      </c>
      <c r="D18" s="276">
        <v>4955</v>
      </c>
      <c r="E18" s="724">
        <f>'Insumos cotação'!G15</f>
        <v>2.6</v>
      </c>
      <c r="F18" s="725">
        <f t="shared" si="0"/>
        <v>12883</v>
      </c>
      <c r="IC18" s="21"/>
      <c r="ID18" s="21"/>
      <c r="IE18" s="21"/>
    </row>
    <row r="19" spans="1:239" s="20" customFormat="1" ht="48" customHeight="1">
      <c r="A19" s="339" t="s">
        <v>221</v>
      </c>
      <c r="B19" s="307" t="s">
        <v>427</v>
      </c>
      <c r="C19" s="276" t="s">
        <v>30</v>
      </c>
      <c r="D19" s="276">
        <v>76</v>
      </c>
      <c r="E19" s="724">
        <f>'Insumos cotação'!G16</f>
        <v>3.1</v>
      </c>
      <c r="F19" s="725">
        <f t="shared" si="0"/>
        <v>235.6</v>
      </c>
      <c r="IC19" s="21"/>
      <c r="ID19" s="21"/>
      <c r="IE19" s="21"/>
    </row>
    <row r="20" spans="1:239" s="20" customFormat="1" ht="18" customHeight="1">
      <c r="A20" s="339" t="s">
        <v>222</v>
      </c>
      <c r="B20" s="307" t="s">
        <v>428</v>
      </c>
      <c r="C20" s="276" t="s">
        <v>30</v>
      </c>
      <c r="D20" s="276">
        <v>15</v>
      </c>
      <c r="E20" s="724">
        <f>'Insumos cotação'!G24</f>
        <v>3.9</v>
      </c>
      <c r="F20" s="725">
        <f t="shared" si="0"/>
        <v>58.5</v>
      </c>
      <c r="IC20" s="21"/>
      <c r="ID20" s="21"/>
      <c r="IE20" s="21"/>
    </row>
    <row r="21" spans="1:239" s="20" customFormat="1" ht="18" customHeight="1">
      <c r="A21" s="339" t="s">
        <v>223</v>
      </c>
      <c r="B21" s="307" t="s">
        <v>429</v>
      </c>
      <c r="C21" s="276" t="s">
        <v>30</v>
      </c>
      <c r="D21" s="276">
        <v>50</v>
      </c>
      <c r="E21" s="724">
        <f>'INSUMOS - SINAPI'!C45</f>
        <v>37.380000000000003</v>
      </c>
      <c r="F21" s="725">
        <f t="shared" si="0"/>
        <v>1869</v>
      </c>
      <c r="IC21" s="21"/>
      <c r="ID21" s="21"/>
      <c r="IE21" s="21"/>
    </row>
    <row r="22" spans="1:239" s="20" customFormat="1" ht="18" customHeight="1">
      <c r="A22" s="339" t="s">
        <v>93</v>
      </c>
      <c r="B22" s="307" t="s">
        <v>430</v>
      </c>
      <c r="C22" s="276" t="s">
        <v>30</v>
      </c>
      <c r="D22" s="276">
        <v>480</v>
      </c>
      <c r="E22" s="724">
        <f>'INSUMOS - SINAPI'!C47</f>
        <v>14.43</v>
      </c>
      <c r="F22" s="725">
        <f t="shared" si="0"/>
        <v>6926.4</v>
      </c>
      <c r="IC22" s="21"/>
      <c r="ID22" s="21"/>
      <c r="IE22" s="21"/>
    </row>
    <row r="23" spans="1:239" s="20" customFormat="1" ht="33.75" customHeight="1">
      <c r="A23" s="339" t="s">
        <v>94</v>
      </c>
      <c r="B23" s="307" t="s">
        <v>431</v>
      </c>
      <c r="C23" s="276" t="s">
        <v>30</v>
      </c>
      <c r="D23" s="276">
        <v>225</v>
      </c>
      <c r="E23" s="724">
        <f>'Insumos cotação'!G4</f>
        <v>7.18</v>
      </c>
      <c r="F23" s="725">
        <f t="shared" si="0"/>
        <v>1615.5</v>
      </c>
      <c r="IC23" s="21"/>
      <c r="ID23" s="21"/>
      <c r="IE23" s="21"/>
    </row>
    <row r="24" spans="1:239" s="20" customFormat="1" ht="21" customHeight="1">
      <c r="A24" s="339" t="s">
        <v>95</v>
      </c>
      <c r="B24" s="307" t="s">
        <v>433</v>
      </c>
      <c r="C24" s="276" t="s">
        <v>30</v>
      </c>
      <c r="D24" s="276">
        <v>400</v>
      </c>
      <c r="E24" s="724">
        <f>'INSUMOS - SINAPI'!C68</f>
        <v>69.260000000000005</v>
      </c>
      <c r="F24" s="725">
        <f t="shared" si="0"/>
        <v>27704</v>
      </c>
      <c r="IC24" s="21"/>
      <c r="ID24" s="21"/>
      <c r="IE24" s="21"/>
    </row>
    <row r="25" spans="1:239" s="20" customFormat="1" ht="21" customHeight="1" thickBot="1">
      <c r="A25" s="339" t="s">
        <v>96</v>
      </c>
      <c r="B25" s="287" t="s">
        <v>434</v>
      </c>
      <c r="C25" s="288" t="s">
        <v>30</v>
      </c>
      <c r="D25" s="288">
        <v>250</v>
      </c>
      <c r="E25" s="726">
        <f>'INSUMOS - SINAPI'!C77</f>
        <v>70.11</v>
      </c>
      <c r="F25" s="727">
        <f t="shared" si="0"/>
        <v>17527.5</v>
      </c>
      <c r="IC25" s="21"/>
      <c r="ID25" s="21"/>
      <c r="IE25" s="21"/>
    </row>
    <row r="26" spans="1:239" s="286" customFormat="1" ht="29.25" customHeight="1" thickBot="1">
      <c r="A26" s="289"/>
      <c r="B26" s="519" t="s">
        <v>437</v>
      </c>
      <c r="C26" s="519"/>
      <c r="D26" s="519"/>
      <c r="E26" s="290"/>
      <c r="F26" s="291">
        <f>ROUND(SUM(F12:F25),2)</f>
        <v>249415.5</v>
      </c>
    </row>
    <row r="27" spans="1:239" s="286" customFormat="1" ht="29.25" customHeight="1" thickBot="1">
      <c r="A27" s="292"/>
      <c r="B27" s="519" t="s">
        <v>438</v>
      </c>
      <c r="C27" s="519"/>
      <c r="D27" s="293">
        <f>'BDI - MATERIAIS'!D27</f>
        <v>18</v>
      </c>
      <c r="E27" s="294" t="s">
        <v>119</v>
      </c>
      <c r="F27" s="291">
        <f>ROUND((F26+(F26*D27%)),2)</f>
        <v>294310.28999999998</v>
      </c>
    </row>
    <row r="28" spans="1:239" ht="14.25" customHeight="1">
      <c r="C28" s="18"/>
    </row>
    <row r="29" spans="1:239" ht="15" customHeight="1">
      <c r="C29" s="18"/>
    </row>
    <row r="30" spans="1:239">
      <c r="C30" s="18"/>
    </row>
    <row r="31" spans="1:239">
      <c r="C31" s="18"/>
    </row>
    <row r="32" spans="1:239">
      <c r="C32" s="18"/>
    </row>
    <row r="33" spans="2:3">
      <c r="C33" s="18"/>
    </row>
    <row r="34" spans="2:3">
      <c r="C34" s="18"/>
    </row>
    <row r="35" spans="2:3">
      <c r="C35" s="18"/>
    </row>
    <row r="36" spans="2:3">
      <c r="C36" s="18"/>
    </row>
    <row r="37" spans="2:3">
      <c r="C37" s="18"/>
    </row>
    <row r="38" spans="2:3">
      <c r="C38" s="18"/>
    </row>
    <row r="39" spans="2:3">
      <c r="C39" s="18"/>
    </row>
    <row r="40" spans="2:3">
      <c r="C40" s="18"/>
    </row>
    <row r="41" spans="2:3">
      <c r="C41" s="18"/>
    </row>
    <row r="42" spans="2:3">
      <c r="C42" s="18"/>
    </row>
    <row r="43" spans="2:3">
      <c r="C43" s="18"/>
    </row>
    <row r="44" spans="2:3">
      <c r="C44" s="18"/>
    </row>
    <row r="45" spans="2:3">
      <c r="C45" s="87"/>
    </row>
    <row r="46" spans="2:3">
      <c r="C46" s="87"/>
    </row>
    <row r="47" spans="2:3">
      <c r="B47" s="86"/>
      <c r="C47" s="87"/>
    </row>
    <row r="48" spans="2:3">
      <c r="B48" s="86"/>
      <c r="C48" s="87"/>
    </row>
    <row r="49" spans="2:6">
      <c r="B49" s="86"/>
      <c r="C49" s="87"/>
    </row>
    <row r="50" spans="2:6">
      <c r="B50" s="86"/>
      <c r="C50" s="87"/>
    </row>
    <row r="51" spans="2:6">
      <c r="B51" s="86"/>
      <c r="C51" s="87"/>
    </row>
    <row r="52" spans="2:6">
      <c r="C52" s="87"/>
    </row>
    <row r="53" spans="2:6">
      <c r="C53" s="87"/>
      <c r="E53" s="19"/>
    </row>
    <row r="54" spans="2:6">
      <c r="C54" s="102"/>
      <c r="D54" s="102"/>
      <c r="F54" s="19"/>
    </row>
    <row r="55" spans="2:6">
      <c r="C55" s="102"/>
      <c r="D55" s="102"/>
    </row>
    <row r="56" spans="2:6">
      <c r="C56" s="102"/>
      <c r="D56" s="102"/>
    </row>
    <row r="57" spans="2:6">
      <c r="C57" s="102"/>
      <c r="D57" s="102"/>
    </row>
    <row r="58" spans="2:6">
      <c r="C58" s="102"/>
      <c r="D58" s="102"/>
    </row>
  </sheetData>
  <mergeCells count="12">
    <mergeCell ref="B27:C27"/>
    <mergeCell ref="B26:D26"/>
    <mergeCell ref="A8:A9"/>
    <mergeCell ref="A7:F7"/>
    <mergeCell ref="A1:F1"/>
    <mergeCell ref="A2:F2"/>
    <mergeCell ref="A3:F3"/>
    <mergeCell ref="A4:F4"/>
    <mergeCell ref="C8:C9"/>
    <mergeCell ref="D8:D9"/>
    <mergeCell ref="E8:F8"/>
    <mergeCell ref="B8:B9"/>
  </mergeCells>
  <phoneticPr fontId="11" type="noConversion"/>
  <printOptions horizontalCentered="1"/>
  <pageMargins left="1.1811023622047245" right="0.51181102362204722" top="1.1811023622047245" bottom="0.39370078740157483" header="0.51181102362204722" footer="0.51181102362204722"/>
  <pageSetup paperSize="9" scale="70" firstPageNumber="0" orientation="portrait" horizontalDpi="300" verticalDpi="300" r:id="rId1"/>
  <headerFooter alignWithMargins="0"/>
  <rowBreaks count="1" manualBreakCount="1">
    <brk id="27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69"/>
  <sheetViews>
    <sheetView view="pageBreakPreview" topLeftCell="A82" zoomScale="130" zoomScaleNormal="130" zoomScaleSheetLayoutView="130" workbookViewId="0">
      <selection activeCell="K139" sqref="K139"/>
    </sheetView>
  </sheetViews>
  <sheetFormatPr defaultRowHeight="12.75"/>
  <cols>
    <col min="1" max="1" width="26.7109375" style="22" customWidth="1"/>
    <col min="2" max="2" width="12.42578125" customWidth="1"/>
    <col min="3" max="3" width="9.5703125" customWidth="1"/>
    <col min="4" max="4" width="8.85546875" customWidth="1"/>
    <col min="5" max="5" width="8.140625" customWidth="1"/>
    <col min="6" max="6" width="12.42578125" customWidth="1"/>
    <col min="7" max="7" width="12.140625" customWidth="1"/>
    <col min="8" max="8" width="10.7109375" style="23" customWidth="1"/>
    <col min="9" max="9" width="12" style="187" customWidth="1"/>
    <col min="10" max="10" width="10.42578125" customWidth="1"/>
  </cols>
  <sheetData>
    <row r="1" spans="1:10" ht="15.75" customHeight="1">
      <c r="A1" s="203" t="s">
        <v>97</v>
      </c>
      <c r="B1" s="228" t="s">
        <v>64</v>
      </c>
      <c r="C1" s="600" t="s">
        <v>98</v>
      </c>
      <c r="D1" s="600"/>
      <c r="E1" s="600"/>
      <c r="F1" s="600"/>
      <c r="G1" s="600"/>
      <c r="H1" s="601"/>
      <c r="I1" s="186"/>
      <c r="J1" s="24">
        <v>1.3</v>
      </c>
    </row>
    <row r="2" spans="1:10" ht="14.25" customHeight="1">
      <c r="A2" s="560" t="s">
        <v>336</v>
      </c>
      <c r="B2" s="561"/>
      <c r="C2" s="561"/>
      <c r="D2" s="561"/>
      <c r="E2" s="561"/>
      <c r="F2" s="561"/>
      <c r="G2" s="562" t="s">
        <v>335</v>
      </c>
      <c r="H2" s="622"/>
    </row>
    <row r="3" spans="1:10" ht="12.95" customHeight="1">
      <c r="A3" s="615" t="s">
        <v>488</v>
      </c>
      <c r="B3" s="616"/>
      <c r="C3" s="616"/>
      <c r="D3" s="616"/>
      <c r="E3" s="616"/>
      <c r="F3" s="616"/>
      <c r="G3" s="25" t="s">
        <v>99</v>
      </c>
      <c r="H3" s="105" t="s">
        <v>76</v>
      </c>
    </row>
    <row r="4" spans="1:10">
      <c r="A4" s="566" t="s">
        <v>100</v>
      </c>
      <c r="B4" s="567"/>
      <c r="C4" s="567"/>
      <c r="D4" s="567"/>
      <c r="E4" s="567"/>
      <c r="F4" s="567"/>
      <c r="G4" s="567"/>
      <c r="H4" s="568"/>
    </row>
    <row r="5" spans="1:10">
      <c r="A5" s="106" t="s">
        <v>101</v>
      </c>
      <c r="B5" s="26" t="s">
        <v>102</v>
      </c>
      <c r="C5" s="27" t="s">
        <v>61</v>
      </c>
      <c r="D5" s="28" t="s">
        <v>103</v>
      </c>
      <c r="E5" s="28" t="s">
        <v>104</v>
      </c>
      <c r="F5" s="29" t="s">
        <v>105</v>
      </c>
      <c r="G5" s="29" t="s">
        <v>106</v>
      </c>
      <c r="H5" s="107" t="s">
        <v>107</v>
      </c>
    </row>
    <row r="6" spans="1:10">
      <c r="A6" s="108" t="s">
        <v>109</v>
      </c>
      <c r="B6" s="30" t="s">
        <v>108</v>
      </c>
      <c r="C6" s="31">
        <f>8*3</f>
        <v>24</v>
      </c>
      <c r="D6" s="32">
        <v>1</v>
      </c>
      <c r="E6" s="28"/>
      <c r="F6" s="29">
        <f>'INSUMOS - SINAPI'!C18</f>
        <v>71.61</v>
      </c>
      <c r="G6" s="29"/>
      <c r="H6" s="109">
        <f>C6*D6*F6+C6*E6*G6</f>
        <v>1718.6399999999999</v>
      </c>
      <c r="I6" s="202" t="s">
        <v>49</v>
      </c>
    </row>
    <row r="7" spans="1:10">
      <c r="A7" s="108" t="s">
        <v>110</v>
      </c>
      <c r="B7" s="30" t="s">
        <v>108</v>
      </c>
      <c r="C7" s="31">
        <v>80</v>
      </c>
      <c r="D7" s="32">
        <v>1</v>
      </c>
      <c r="E7" s="28"/>
      <c r="F7" s="29">
        <f>'INSUMOS - SINAPI'!C19</f>
        <v>26</v>
      </c>
      <c r="G7" s="29"/>
      <c r="H7" s="109">
        <f>C7*D7*F7+C7*E7*G7</f>
        <v>2080</v>
      </c>
      <c r="I7" s="202" t="s">
        <v>324</v>
      </c>
    </row>
    <row r="8" spans="1:10">
      <c r="A8" s="569" t="s">
        <v>111</v>
      </c>
      <c r="B8" s="570"/>
      <c r="C8" s="570"/>
      <c r="D8" s="570"/>
      <c r="E8" s="570"/>
      <c r="F8" s="570"/>
      <c r="G8" s="617"/>
      <c r="H8" s="205">
        <f>SUM(H6:H7)</f>
        <v>3798.64</v>
      </c>
    </row>
    <row r="9" spans="1:10" s="33" customFormat="1">
      <c r="A9" s="566" t="s">
        <v>115</v>
      </c>
      <c r="B9" s="567"/>
      <c r="C9" s="567"/>
      <c r="D9" s="567"/>
      <c r="E9" s="567"/>
      <c r="F9" s="567"/>
      <c r="G9" s="567"/>
      <c r="H9" s="568"/>
      <c r="I9" s="187"/>
    </row>
    <row r="10" spans="1:10" s="33" customFormat="1">
      <c r="A10" s="106" t="s">
        <v>101</v>
      </c>
      <c r="B10" s="26" t="s">
        <v>102</v>
      </c>
      <c r="C10" s="27" t="s">
        <v>61</v>
      </c>
      <c r="D10" s="27"/>
      <c r="E10" s="27"/>
      <c r="F10" s="27"/>
      <c r="G10" s="26" t="s">
        <v>113</v>
      </c>
      <c r="H10" s="107" t="s">
        <v>107</v>
      </c>
      <c r="I10" s="187"/>
    </row>
    <row r="11" spans="1:10" s="33" customFormat="1">
      <c r="A11" s="111" t="s">
        <v>198</v>
      </c>
      <c r="B11" s="26" t="s">
        <v>108</v>
      </c>
      <c r="C11" s="37">
        <v>80</v>
      </c>
      <c r="D11" s="27"/>
      <c r="E11" s="27"/>
      <c r="F11" s="27"/>
      <c r="G11" s="35">
        <f>'INSUMOS - SINAPI'!$C$58</f>
        <v>3.42</v>
      </c>
      <c r="H11" s="109">
        <f>C11*G11</f>
        <v>273.60000000000002</v>
      </c>
      <c r="I11" s="202" t="s">
        <v>57</v>
      </c>
    </row>
    <row r="12" spans="1:10" s="33" customFormat="1">
      <c r="A12" s="569" t="s">
        <v>111</v>
      </c>
      <c r="B12" s="570"/>
      <c r="C12" s="570"/>
      <c r="D12" s="570"/>
      <c r="E12" s="570"/>
      <c r="F12" s="570"/>
      <c r="G12" s="570"/>
      <c r="H12" s="110">
        <f>SUM(H11:H11)</f>
        <v>273.60000000000002</v>
      </c>
      <c r="I12" s="187"/>
    </row>
    <row r="13" spans="1:10" s="33" customFormat="1">
      <c r="A13" s="571" t="s">
        <v>361</v>
      </c>
      <c r="B13" s="589"/>
      <c r="C13" s="589"/>
      <c r="D13" s="589"/>
      <c r="E13" s="589"/>
      <c r="F13" s="590"/>
      <c r="G13" s="235">
        <f>'Enc. Soc.'!$C$40</f>
        <v>120.75</v>
      </c>
      <c r="H13" s="205">
        <f>ROUND((H12*G13%),2)</f>
        <v>330.37</v>
      </c>
      <c r="I13" s="187"/>
    </row>
    <row r="14" spans="1:10">
      <c r="A14" s="113" t="s">
        <v>116</v>
      </c>
      <c r="B14" s="36">
        <v>1</v>
      </c>
      <c r="C14" s="570" t="s">
        <v>117</v>
      </c>
      <c r="D14" s="570"/>
      <c r="E14" s="570"/>
      <c r="F14" s="570"/>
      <c r="G14" s="570"/>
      <c r="H14" s="110">
        <f>H8+H12+H13</f>
        <v>4402.6099999999997</v>
      </c>
    </row>
    <row r="15" spans="1:10">
      <c r="A15" s="582" t="s">
        <v>323</v>
      </c>
      <c r="B15" s="583"/>
      <c r="C15" s="583"/>
      <c r="D15" s="583"/>
      <c r="E15" s="583"/>
      <c r="F15" s="583"/>
      <c r="G15" s="584"/>
      <c r="H15" s="114">
        <f>H14/B14</f>
        <v>4402.6099999999997</v>
      </c>
    </row>
    <row r="16" spans="1:10">
      <c r="A16" s="115" t="s">
        <v>118</v>
      </c>
      <c r="B16" s="154">
        <f>'BDI - SERVIÇOS'!$D$27/100</f>
        <v>0.255</v>
      </c>
      <c r="C16" s="38"/>
      <c r="D16" s="38"/>
      <c r="E16" s="38"/>
      <c r="F16" s="38"/>
      <c r="G16" s="39"/>
      <c r="H16" s="114">
        <f>ROUND((H15*B16),2)</f>
        <v>1122.67</v>
      </c>
    </row>
    <row r="17" spans="1:15" ht="13.5" thickBot="1">
      <c r="A17" s="618" t="s">
        <v>120</v>
      </c>
      <c r="B17" s="619"/>
      <c r="C17" s="619"/>
      <c r="D17" s="619"/>
      <c r="E17" s="619"/>
      <c r="F17" s="619"/>
      <c r="G17" s="619"/>
      <c r="H17" s="206">
        <f>H15+H16</f>
        <v>5525.28</v>
      </c>
    </row>
    <row r="18" spans="1:15" ht="15.6" customHeight="1">
      <c r="A18" s="207" t="s">
        <v>97</v>
      </c>
      <c r="B18" s="228" t="s">
        <v>65</v>
      </c>
      <c r="C18" s="620" t="s">
        <v>98</v>
      </c>
      <c r="D18" s="620"/>
      <c r="E18" s="620"/>
      <c r="F18" s="620"/>
      <c r="G18" s="620"/>
      <c r="H18" s="621"/>
    </row>
    <row r="19" spans="1:15" s="33" customFormat="1" ht="12.75" customHeight="1">
      <c r="A19" s="560" t="s">
        <v>336</v>
      </c>
      <c r="B19" s="561"/>
      <c r="C19" s="561"/>
      <c r="D19" s="561"/>
      <c r="E19" s="561"/>
      <c r="F19" s="561"/>
      <c r="G19" s="562" t="s">
        <v>335</v>
      </c>
      <c r="H19" s="622"/>
      <c r="I19" s="187"/>
    </row>
    <row r="20" spans="1:15" s="33" customFormat="1" ht="27.75" customHeight="1">
      <c r="A20" s="615" t="s">
        <v>406</v>
      </c>
      <c r="B20" s="616"/>
      <c r="C20" s="616"/>
      <c r="D20" s="616"/>
      <c r="E20" s="616"/>
      <c r="F20" s="616"/>
      <c r="G20" s="25" t="s">
        <v>99</v>
      </c>
      <c r="H20" s="105" t="s">
        <v>76</v>
      </c>
      <c r="I20" s="187"/>
    </row>
    <row r="21" spans="1:15" s="33" customFormat="1">
      <c r="A21" s="566" t="s">
        <v>112</v>
      </c>
      <c r="B21" s="567"/>
      <c r="C21" s="567"/>
      <c r="D21" s="567"/>
      <c r="E21" s="567"/>
      <c r="F21" s="567"/>
      <c r="G21" s="567"/>
      <c r="H21" s="568"/>
      <c r="I21" s="187"/>
    </row>
    <row r="22" spans="1:15" s="33" customFormat="1">
      <c r="A22" s="106" t="s">
        <v>101</v>
      </c>
      <c r="B22" s="26" t="s">
        <v>102</v>
      </c>
      <c r="C22" s="27" t="s">
        <v>61</v>
      </c>
      <c r="D22" s="27"/>
      <c r="E22" s="27"/>
      <c r="F22" s="27"/>
      <c r="G22" s="26" t="s">
        <v>113</v>
      </c>
      <c r="H22" s="107" t="s">
        <v>107</v>
      </c>
      <c r="I22" s="187"/>
    </row>
    <row r="23" spans="1:15" s="33" customFormat="1" ht="20.25">
      <c r="A23" s="111" t="s">
        <v>145</v>
      </c>
      <c r="B23" s="26" t="s">
        <v>146</v>
      </c>
      <c r="C23" s="34">
        <v>0.4</v>
      </c>
      <c r="D23" s="27"/>
      <c r="E23" s="27"/>
      <c r="F23" s="27"/>
      <c r="G23" s="35">
        <f>'INSUMOS - SINAPI'!C3</f>
        <v>30.9</v>
      </c>
      <c r="H23" s="109">
        <f t="shared" ref="H23:H54" si="0">C23*G23</f>
        <v>12.36</v>
      </c>
      <c r="I23" s="273" t="s">
        <v>244</v>
      </c>
      <c r="J23" s="545"/>
      <c r="K23" s="545"/>
      <c r="L23" s="545"/>
      <c r="M23" s="545"/>
      <c r="N23" s="545"/>
      <c r="O23" s="545"/>
    </row>
    <row r="24" spans="1:15" s="33" customFormat="1">
      <c r="A24" s="111" t="s">
        <v>132</v>
      </c>
      <c r="B24" s="26" t="s">
        <v>89</v>
      </c>
      <c r="C24" s="34">
        <v>5</v>
      </c>
      <c r="D24" s="27"/>
      <c r="E24" s="27"/>
      <c r="F24" s="27"/>
      <c r="G24" s="35">
        <f>'INSUMOS - SINAPI'!C4</f>
        <v>65</v>
      </c>
      <c r="H24" s="109">
        <f t="shared" si="0"/>
        <v>325</v>
      </c>
      <c r="I24" s="202" t="s">
        <v>304</v>
      </c>
    </row>
    <row r="25" spans="1:15" s="33" customFormat="1" ht="38.25">
      <c r="A25" s="111" t="s">
        <v>338</v>
      </c>
      <c r="B25" s="26" t="s">
        <v>122</v>
      </c>
      <c r="C25" s="34">
        <v>1</v>
      </c>
      <c r="D25" s="27"/>
      <c r="E25" s="27"/>
      <c r="F25" s="27"/>
      <c r="G25" s="35">
        <f>'Insumos cotação'!G19</f>
        <v>840</v>
      </c>
      <c r="H25" s="109">
        <f t="shared" si="0"/>
        <v>840</v>
      </c>
      <c r="I25" s="202" t="s">
        <v>417</v>
      </c>
    </row>
    <row r="26" spans="1:15" s="33" customFormat="1">
      <c r="A26" s="111" t="s">
        <v>133</v>
      </c>
      <c r="B26" s="26" t="s">
        <v>89</v>
      </c>
      <c r="C26" s="34">
        <v>2</v>
      </c>
      <c r="D26" s="27"/>
      <c r="E26" s="27"/>
      <c r="F26" s="27"/>
      <c r="G26" s="35">
        <f>'INSUMOS - SINAPI'!C10</f>
        <v>68.13</v>
      </c>
      <c r="H26" s="109">
        <f t="shared" si="0"/>
        <v>136.26</v>
      </c>
      <c r="I26" s="202" t="s">
        <v>305</v>
      </c>
      <c r="J26"/>
    </row>
    <row r="27" spans="1:15" s="33" customFormat="1">
      <c r="A27" s="111" t="s">
        <v>156</v>
      </c>
      <c r="B27" s="26" t="s">
        <v>87</v>
      </c>
      <c r="C27" s="34">
        <v>150</v>
      </c>
      <c r="D27" s="27"/>
      <c r="E27" s="27"/>
      <c r="F27" s="27"/>
      <c r="G27" s="35">
        <f>'INSUMOS - SINAPI'!C12</f>
        <v>11.49</v>
      </c>
      <c r="H27" s="109">
        <f t="shared" si="0"/>
        <v>1723.5</v>
      </c>
      <c r="I27" s="202" t="s">
        <v>307</v>
      </c>
    </row>
    <row r="28" spans="1:15" s="33" customFormat="1">
      <c r="A28" s="111" t="s">
        <v>157</v>
      </c>
      <c r="B28" s="26" t="s">
        <v>87</v>
      </c>
      <c r="C28" s="34">
        <v>280</v>
      </c>
      <c r="D28" s="27"/>
      <c r="E28" s="27"/>
      <c r="F28" s="27"/>
      <c r="G28" s="35">
        <f>'INSUMOS - SINAPI'!C13</f>
        <v>1.8</v>
      </c>
      <c r="H28" s="109">
        <f t="shared" si="0"/>
        <v>504</v>
      </c>
      <c r="I28" s="202" t="s">
        <v>308</v>
      </c>
    </row>
    <row r="29" spans="1:15" s="33" customFormat="1">
      <c r="A29" s="111" t="s">
        <v>130</v>
      </c>
      <c r="B29" s="26" t="s">
        <v>122</v>
      </c>
      <c r="C29" s="34">
        <v>6</v>
      </c>
      <c r="D29" s="27"/>
      <c r="E29" s="27"/>
      <c r="F29" s="27"/>
      <c r="G29" s="35">
        <f>'INSUMOS - SINAPI'!C14</f>
        <v>10.49</v>
      </c>
      <c r="H29" s="109">
        <f t="shared" si="0"/>
        <v>62.94</v>
      </c>
      <c r="I29" s="202" t="s">
        <v>309</v>
      </c>
    </row>
    <row r="30" spans="1:15" s="33" customFormat="1">
      <c r="A30" s="111" t="s">
        <v>139</v>
      </c>
      <c r="B30" s="26" t="s">
        <v>122</v>
      </c>
      <c r="C30" s="34">
        <v>1</v>
      </c>
      <c r="D30" s="27"/>
      <c r="E30" s="27"/>
      <c r="F30" s="27"/>
      <c r="G30" s="35">
        <f>'INSUMOS - SINAPI'!C15</f>
        <v>198</v>
      </c>
      <c r="H30" s="109">
        <f t="shared" si="0"/>
        <v>198</v>
      </c>
      <c r="I30" s="202" t="s">
        <v>310</v>
      </c>
    </row>
    <row r="31" spans="1:15" s="33" customFormat="1">
      <c r="A31" s="111" t="s">
        <v>350</v>
      </c>
      <c r="B31" s="26" t="s">
        <v>122</v>
      </c>
      <c r="C31" s="34">
        <v>1</v>
      </c>
      <c r="D31" s="27"/>
      <c r="E31" s="27"/>
      <c r="F31" s="27"/>
      <c r="G31" s="35">
        <f>'INSUMOS - SINAPI'!C16</f>
        <v>102.31</v>
      </c>
      <c r="H31" s="109">
        <f t="shared" si="0"/>
        <v>102.31</v>
      </c>
      <c r="I31" s="202" t="s">
        <v>311</v>
      </c>
    </row>
    <row r="32" spans="1:15" s="33" customFormat="1" ht="38.25">
      <c r="A32" s="111" t="s">
        <v>155</v>
      </c>
      <c r="B32" s="26" t="s">
        <v>122</v>
      </c>
      <c r="C32" s="34">
        <v>4</v>
      </c>
      <c r="D32" s="27"/>
      <c r="E32" s="27"/>
      <c r="F32" s="27"/>
      <c r="G32" s="35">
        <f>'INSUMOS - SINAPI'!C17</f>
        <v>18.95</v>
      </c>
      <c r="H32" s="109">
        <f t="shared" si="0"/>
        <v>75.8</v>
      </c>
      <c r="I32" s="202" t="s">
        <v>312</v>
      </c>
    </row>
    <row r="33" spans="1:10" s="33" customFormat="1">
      <c r="A33" s="111" t="s">
        <v>159</v>
      </c>
      <c r="B33" s="26" t="s">
        <v>122</v>
      </c>
      <c r="C33" s="34">
        <v>2</v>
      </c>
      <c r="D33" s="27"/>
      <c r="E33" s="27"/>
      <c r="F33" s="27"/>
      <c r="G33" s="35">
        <f>'INSUMOS - SINAPI'!C22</f>
        <v>6.36</v>
      </c>
      <c r="H33" s="109">
        <f t="shared" si="0"/>
        <v>12.72</v>
      </c>
      <c r="I33" s="202" t="s">
        <v>314</v>
      </c>
    </row>
    <row r="34" spans="1:10" s="33" customFormat="1">
      <c r="A34" s="111" t="s">
        <v>131</v>
      </c>
      <c r="B34" s="26" t="s">
        <v>124</v>
      </c>
      <c r="C34" s="34">
        <f>750</f>
        <v>750</v>
      </c>
      <c r="D34" s="27"/>
      <c r="E34" s="27"/>
      <c r="F34" s="27"/>
      <c r="G34" s="35">
        <f>'INSUMOS - SINAPI'!C23</f>
        <v>0.48</v>
      </c>
      <c r="H34" s="109">
        <f t="shared" si="0"/>
        <v>360</v>
      </c>
      <c r="I34" s="202" t="s">
        <v>315</v>
      </c>
    </row>
    <row r="35" spans="1:10" s="33" customFormat="1" ht="51">
      <c r="A35" s="111" t="s">
        <v>161</v>
      </c>
      <c r="B35" s="26" t="s">
        <v>122</v>
      </c>
      <c r="C35" s="34">
        <v>2</v>
      </c>
      <c r="D35" s="27"/>
      <c r="E35" s="27"/>
      <c r="F35" s="27"/>
      <c r="G35" s="35">
        <f>'INSUMOS - SINAPI'!C24</f>
        <v>4.9000000000000004</v>
      </c>
      <c r="H35" s="109">
        <f t="shared" si="0"/>
        <v>9.8000000000000007</v>
      </c>
      <c r="I35" s="202" t="s">
        <v>316</v>
      </c>
    </row>
    <row r="36" spans="1:10" s="33" customFormat="1" ht="51">
      <c r="A36" s="111" t="s">
        <v>126</v>
      </c>
      <c r="B36" s="26" t="s">
        <v>122</v>
      </c>
      <c r="C36" s="34">
        <v>50</v>
      </c>
      <c r="D36" s="27"/>
      <c r="E36" s="27"/>
      <c r="F36" s="27"/>
      <c r="G36" s="35">
        <f>'INSUMOS - SINAPI'!C25</f>
        <v>1.95</v>
      </c>
      <c r="H36" s="109">
        <f t="shared" si="0"/>
        <v>97.5</v>
      </c>
      <c r="I36" s="202" t="s">
        <v>317</v>
      </c>
    </row>
    <row r="37" spans="1:10" s="33" customFormat="1">
      <c r="A37" s="111" t="s">
        <v>128</v>
      </c>
      <c r="B37" s="26" t="s">
        <v>122</v>
      </c>
      <c r="C37" s="34">
        <v>2</v>
      </c>
      <c r="D37" s="27"/>
      <c r="E37" s="27"/>
      <c r="F37" s="27"/>
      <c r="G37" s="35">
        <f>'INSUMOS - SINAPI'!C26</f>
        <v>20</v>
      </c>
      <c r="H37" s="109">
        <f t="shared" si="0"/>
        <v>40</v>
      </c>
      <c r="I37" s="202" t="s">
        <v>318</v>
      </c>
    </row>
    <row r="38" spans="1:10" s="33" customFormat="1">
      <c r="A38" s="111" t="s">
        <v>129</v>
      </c>
      <c r="B38" s="26" t="s">
        <v>122</v>
      </c>
      <c r="C38" s="34">
        <v>18</v>
      </c>
      <c r="D38" s="27"/>
      <c r="E38" s="27"/>
      <c r="F38" s="27"/>
      <c r="G38" s="35">
        <f>'INSUMOS - SINAPI'!C27</f>
        <v>4.9800000000000004</v>
      </c>
      <c r="H38" s="109">
        <f t="shared" si="0"/>
        <v>89.640000000000015</v>
      </c>
      <c r="I38" s="202" t="s">
        <v>319</v>
      </c>
    </row>
    <row r="39" spans="1:10" s="33" customFormat="1">
      <c r="A39" s="111" t="s">
        <v>342</v>
      </c>
      <c r="B39" s="26" t="s">
        <v>122</v>
      </c>
      <c r="C39" s="34">
        <v>1</v>
      </c>
      <c r="D39" s="27"/>
      <c r="E39" s="27"/>
      <c r="F39" s="27"/>
      <c r="G39" s="35">
        <f>'INSUMOS - SINAPI'!C30</f>
        <v>475.86</v>
      </c>
      <c r="H39" s="109">
        <f t="shared" si="0"/>
        <v>475.86</v>
      </c>
      <c r="I39" s="202" t="s">
        <v>345</v>
      </c>
    </row>
    <row r="40" spans="1:10" s="33" customFormat="1">
      <c r="A40" s="111" t="s">
        <v>340</v>
      </c>
      <c r="B40" s="26" t="s">
        <v>122</v>
      </c>
      <c r="C40" s="34">
        <v>1</v>
      </c>
      <c r="D40" s="27"/>
      <c r="E40" s="27"/>
      <c r="F40" s="27"/>
      <c r="G40" s="35">
        <f>'INSUMOS - SINAPI'!C32</f>
        <v>134.58000000000001</v>
      </c>
      <c r="H40" s="109">
        <f t="shared" si="0"/>
        <v>134.58000000000001</v>
      </c>
      <c r="I40" s="202" t="s">
        <v>344</v>
      </c>
    </row>
    <row r="41" spans="1:10" s="33" customFormat="1">
      <c r="A41" s="111" t="s">
        <v>346</v>
      </c>
      <c r="B41" s="26" t="s">
        <v>122</v>
      </c>
      <c r="C41" s="34">
        <v>1</v>
      </c>
      <c r="D41" s="27"/>
      <c r="E41" s="27"/>
      <c r="F41" s="27"/>
      <c r="G41" s="35">
        <f>'INSUMOS - SINAPI'!C31</f>
        <v>145.5</v>
      </c>
      <c r="H41" s="109">
        <f t="shared" si="0"/>
        <v>145.5</v>
      </c>
      <c r="I41" s="202" t="s">
        <v>347</v>
      </c>
      <c r="J41"/>
    </row>
    <row r="42" spans="1:10" s="33" customFormat="1">
      <c r="A42" s="111" t="s">
        <v>148</v>
      </c>
      <c r="B42" s="26" t="s">
        <v>122</v>
      </c>
      <c r="C42" s="34">
        <v>1</v>
      </c>
      <c r="D42" s="27"/>
      <c r="E42" s="27"/>
      <c r="F42" s="27"/>
      <c r="G42" s="35">
        <f>'INSUMOS - SINAPI'!C34</f>
        <v>6.18</v>
      </c>
      <c r="H42" s="109">
        <f t="shared" si="0"/>
        <v>6.18</v>
      </c>
      <c r="I42" s="202" t="s">
        <v>0</v>
      </c>
    </row>
    <row r="43" spans="1:10" s="33" customFormat="1">
      <c r="A43" s="111" t="s">
        <v>163</v>
      </c>
      <c r="B43" s="26" t="s">
        <v>122</v>
      </c>
      <c r="C43" s="34">
        <v>15</v>
      </c>
      <c r="D43" s="27"/>
      <c r="E43" s="27"/>
      <c r="F43" s="27"/>
      <c r="G43" s="35">
        <f>'INSUMOS - SINAPI'!C35</f>
        <v>6.39</v>
      </c>
      <c r="H43" s="109">
        <f t="shared" si="0"/>
        <v>95.85</v>
      </c>
      <c r="I43" s="202" t="s">
        <v>1</v>
      </c>
    </row>
    <row r="44" spans="1:10" s="33" customFormat="1">
      <c r="A44" s="111" t="s">
        <v>142</v>
      </c>
      <c r="B44" s="26" t="s">
        <v>122</v>
      </c>
      <c r="C44" s="34">
        <v>6</v>
      </c>
      <c r="D44" s="27"/>
      <c r="E44" s="27"/>
      <c r="F44" s="27"/>
      <c r="G44" s="35">
        <f>'INSUMOS - SINAPI'!C36</f>
        <v>5.65</v>
      </c>
      <c r="H44" s="109">
        <f t="shared" si="0"/>
        <v>33.900000000000006</v>
      </c>
      <c r="I44" s="202" t="s">
        <v>2</v>
      </c>
    </row>
    <row r="45" spans="1:10" s="33" customFormat="1">
      <c r="A45" s="111" t="s">
        <v>140</v>
      </c>
      <c r="B45" s="26" t="s">
        <v>122</v>
      </c>
      <c r="C45" s="34">
        <v>10</v>
      </c>
      <c r="D45" s="27"/>
      <c r="E45" s="27"/>
      <c r="F45" s="27"/>
      <c r="G45" s="35">
        <f>'INSUMOS - SINAPI'!C37</f>
        <v>0.39</v>
      </c>
      <c r="H45" s="109">
        <f t="shared" si="0"/>
        <v>3.9000000000000004</v>
      </c>
      <c r="I45" s="202" t="s">
        <v>3</v>
      </c>
    </row>
    <row r="46" spans="1:10" s="33" customFormat="1">
      <c r="A46" s="111" t="s">
        <v>144</v>
      </c>
      <c r="B46" s="26" t="s">
        <v>122</v>
      </c>
      <c r="C46" s="34">
        <v>4</v>
      </c>
      <c r="D46" s="27"/>
      <c r="E46" s="27"/>
      <c r="F46" s="27"/>
      <c r="G46" s="35">
        <f>'INSUMOS - SINAPI'!C38</f>
        <v>2.92</v>
      </c>
      <c r="H46" s="109">
        <f t="shared" si="0"/>
        <v>11.68</v>
      </c>
      <c r="I46" s="202" t="s">
        <v>4</v>
      </c>
    </row>
    <row r="47" spans="1:10" s="33" customFormat="1">
      <c r="A47" s="111" t="s">
        <v>143</v>
      </c>
      <c r="B47" s="26" t="s">
        <v>122</v>
      </c>
      <c r="C47" s="34">
        <v>4</v>
      </c>
      <c r="D47" s="27"/>
      <c r="E47" s="27"/>
      <c r="F47" s="27"/>
      <c r="G47" s="35">
        <f>'INSUMOS - SINAPI'!C39</f>
        <v>3.41</v>
      </c>
      <c r="H47" s="109">
        <f t="shared" si="0"/>
        <v>13.64</v>
      </c>
      <c r="I47" s="202" t="s">
        <v>5</v>
      </c>
    </row>
    <row r="48" spans="1:10" s="33" customFormat="1" ht="25.5">
      <c r="A48" s="111" t="s">
        <v>141</v>
      </c>
      <c r="B48" s="26" t="s">
        <v>122</v>
      </c>
      <c r="C48" s="34">
        <v>6</v>
      </c>
      <c r="D48" s="27"/>
      <c r="E48" s="27"/>
      <c r="F48" s="27"/>
      <c r="G48" s="35">
        <f>'INSUMOS - SINAPI'!C40</f>
        <v>1.07</v>
      </c>
      <c r="H48" s="109">
        <f t="shared" si="0"/>
        <v>6.42</v>
      </c>
      <c r="I48" s="202" t="s">
        <v>6</v>
      </c>
    </row>
    <row r="49" spans="1:9" s="33" customFormat="1" ht="25.5">
      <c r="A49" s="111" t="s">
        <v>337</v>
      </c>
      <c r="B49" s="26" t="s">
        <v>122</v>
      </c>
      <c r="C49" s="34">
        <v>8</v>
      </c>
      <c r="D49" s="27"/>
      <c r="E49" s="27"/>
      <c r="F49" s="27"/>
      <c r="G49" s="35">
        <f>'INSUMOS - SINAPI'!C41</f>
        <v>12.57</v>
      </c>
      <c r="H49" s="109">
        <f t="shared" si="0"/>
        <v>100.56</v>
      </c>
      <c r="I49" s="202" t="s">
        <v>351</v>
      </c>
    </row>
    <row r="50" spans="1:9" s="33" customFormat="1">
      <c r="A50" s="111" t="s">
        <v>138</v>
      </c>
      <c r="B50" s="26" t="s">
        <v>122</v>
      </c>
      <c r="C50" s="34">
        <v>2</v>
      </c>
      <c r="D50" s="27"/>
      <c r="E50" s="27"/>
      <c r="F50" s="27"/>
      <c r="G50" s="35">
        <f>'INSUMOS - SINAPI'!C42</f>
        <v>55.73</v>
      </c>
      <c r="H50" s="109">
        <f t="shared" si="0"/>
        <v>111.46</v>
      </c>
      <c r="I50" s="202" t="s">
        <v>7</v>
      </c>
    </row>
    <row r="51" spans="1:9" s="33" customFormat="1" ht="25.5">
      <c r="A51" s="111" t="s">
        <v>121</v>
      </c>
      <c r="B51" s="26" t="s">
        <v>122</v>
      </c>
      <c r="C51" s="34">
        <f>120</f>
        <v>120</v>
      </c>
      <c r="D51" s="27"/>
      <c r="E51" s="27"/>
      <c r="F51" s="27"/>
      <c r="G51" s="35">
        <f>'INSUMOS - SINAPI'!C21</f>
        <v>26.81</v>
      </c>
      <c r="H51" s="109">
        <f t="shared" si="0"/>
        <v>3217.2</v>
      </c>
      <c r="I51" s="202" t="s">
        <v>52</v>
      </c>
    </row>
    <row r="52" spans="1:9" s="33" customFormat="1" ht="25.5">
      <c r="A52" s="111" t="s">
        <v>339</v>
      </c>
      <c r="B52" s="26" t="s">
        <v>122</v>
      </c>
      <c r="C52" s="34">
        <v>1</v>
      </c>
      <c r="D52" s="27"/>
      <c r="E52" s="27"/>
      <c r="F52" s="27"/>
      <c r="G52" s="35">
        <f>'Insumos cotação'!G21</f>
        <v>158</v>
      </c>
      <c r="H52" s="109">
        <f t="shared" si="0"/>
        <v>158</v>
      </c>
      <c r="I52" s="202" t="s">
        <v>417</v>
      </c>
    </row>
    <row r="53" spans="1:9" s="33" customFormat="1">
      <c r="A53" s="111" t="s">
        <v>125</v>
      </c>
      <c r="B53" s="26" t="s">
        <v>87</v>
      </c>
      <c r="C53" s="34">
        <f>160</f>
        <v>160</v>
      </c>
      <c r="D53" s="27"/>
      <c r="E53" s="27"/>
      <c r="F53" s="27"/>
      <c r="G53" s="35">
        <f>'INSUMOS - SINAPI'!C53</f>
        <v>8.6</v>
      </c>
      <c r="H53" s="109">
        <f t="shared" si="0"/>
        <v>1376</v>
      </c>
      <c r="I53" s="202" t="s">
        <v>10</v>
      </c>
    </row>
    <row r="54" spans="1:9" s="33" customFormat="1">
      <c r="A54" s="111" t="s">
        <v>158</v>
      </c>
      <c r="B54" s="26" t="s">
        <v>122</v>
      </c>
      <c r="C54" s="34">
        <v>1</v>
      </c>
      <c r="D54" s="27"/>
      <c r="E54" s="27"/>
      <c r="F54" s="27"/>
      <c r="G54" s="35">
        <f>'INSUMOS - SINAPI'!C54</f>
        <v>285.72000000000003</v>
      </c>
      <c r="H54" s="109">
        <f t="shared" si="0"/>
        <v>285.72000000000003</v>
      </c>
      <c r="I54" s="202" t="s">
        <v>11</v>
      </c>
    </row>
    <row r="55" spans="1:9" s="33" customFormat="1">
      <c r="A55" s="111" t="s">
        <v>123</v>
      </c>
      <c r="B55" s="26" t="s">
        <v>124</v>
      </c>
      <c r="C55" s="34">
        <v>5</v>
      </c>
      <c r="D55" s="27"/>
      <c r="E55" s="27"/>
      <c r="F55" s="27"/>
      <c r="G55" s="35">
        <f>'INSUMOS - SINAPI'!C55</f>
        <v>6.47</v>
      </c>
      <c r="H55" s="109">
        <f t="shared" ref="H55:H76" si="1">C55*G55</f>
        <v>32.35</v>
      </c>
      <c r="I55" s="202" t="s">
        <v>12</v>
      </c>
    </row>
    <row r="56" spans="1:9" s="33" customFormat="1" ht="12" customHeight="1">
      <c r="A56" s="111" t="s">
        <v>196</v>
      </c>
      <c r="B56" s="26" t="s">
        <v>122</v>
      </c>
      <c r="C56" s="34">
        <v>2</v>
      </c>
      <c r="D56" s="27"/>
      <c r="E56" s="27"/>
      <c r="F56" s="27"/>
      <c r="G56" s="35">
        <f>'INSUMOS - SINAPI'!C56</f>
        <v>23.03</v>
      </c>
      <c r="H56" s="109">
        <f t="shared" si="1"/>
        <v>46.06</v>
      </c>
      <c r="I56" s="202" t="s">
        <v>13</v>
      </c>
    </row>
    <row r="57" spans="1:9" s="33" customFormat="1">
      <c r="A57" s="111" t="s">
        <v>482</v>
      </c>
      <c r="B57" s="26" t="s">
        <v>87</v>
      </c>
      <c r="C57" s="34">
        <v>100</v>
      </c>
      <c r="D57" s="27"/>
      <c r="E57" s="27"/>
      <c r="F57" s="27"/>
      <c r="G57" s="35">
        <f>'INSUMOS - SINAPI'!C57</f>
        <v>4.4800000000000004</v>
      </c>
      <c r="H57" s="109">
        <f t="shared" si="1"/>
        <v>448.00000000000006</v>
      </c>
      <c r="I57" s="202" t="s">
        <v>483</v>
      </c>
    </row>
    <row r="58" spans="1:9" s="33" customFormat="1" ht="14.25" customHeight="1">
      <c r="A58" s="111" t="s">
        <v>153</v>
      </c>
      <c r="B58" s="26" t="s">
        <v>122</v>
      </c>
      <c r="C58" s="34">
        <v>2</v>
      </c>
      <c r="D58" s="27"/>
      <c r="E58" s="27"/>
      <c r="F58" s="27"/>
      <c r="G58" s="35">
        <f>'INSUMOS - SINAPI'!C59</f>
        <v>11.55</v>
      </c>
      <c r="H58" s="109">
        <f t="shared" si="1"/>
        <v>23.1</v>
      </c>
      <c r="I58" s="202" t="s">
        <v>14</v>
      </c>
    </row>
    <row r="59" spans="1:9" s="33" customFormat="1" ht="12.75" customHeight="1">
      <c r="A59" s="111" t="s">
        <v>164</v>
      </c>
      <c r="B59" s="26" t="s">
        <v>122</v>
      </c>
      <c r="C59" s="34">
        <v>8</v>
      </c>
      <c r="D59" s="27"/>
      <c r="E59" s="27"/>
      <c r="F59" s="27"/>
      <c r="G59" s="35">
        <f>'INSUMOS - SINAPI'!C60</f>
        <v>2.5</v>
      </c>
      <c r="H59" s="109">
        <f t="shared" si="1"/>
        <v>20</v>
      </c>
      <c r="I59" s="202" t="s">
        <v>15</v>
      </c>
    </row>
    <row r="60" spans="1:9" s="33" customFormat="1">
      <c r="A60" s="111" t="s">
        <v>55</v>
      </c>
      <c r="B60" s="26" t="s">
        <v>122</v>
      </c>
      <c r="C60" s="34">
        <v>1</v>
      </c>
      <c r="D60" s="27"/>
      <c r="E60" s="27"/>
      <c r="F60" s="27"/>
      <c r="G60" s="35">
        <f>'INSUMOS - SINAPI'!C61</f>
        <v>60</v>
      </c>
      <c r="H60" s="109">
        <f t="shared" si="1"/>
        <v>60</v>
      </c>
      <c r="I60" s="202" t="s">
        <v>322</v>
      </c>
    </row>
    <row r="61" spans="1:9" s="33" customFormat="1">
      <c r="A61" s="111" t="s">
        <v>149</v>
      </c>
      <c r="B61" s="26" t="s">
        <v>122</v>
      </c>
      <c r="C61" s="34">
        <v>4</v>
      </c>
      <c r="D61" s="27"/>
      <c r="E61" s="27"/>
      <c r="F61" s="27"/>
      <c r="G61" s="35">
        <f>'INSUMOS - SINAPI'!C62</f>
        <v>75.42</v>
      </c>
      <c r="H61" s="109">
        <f t="shared" si="1"/>
        <v>301.68</v>
      </c>
      <c r="I61" s="202" t="s">
        <v>16</v>
      </c>
    </row>
    <row r="62" spans="1:9" s="33" customFormat="1">
      <c r="A62" s="111" t="s">
        <v>147</v>
      </c>
      <c r="B62" s="26" t="s">
        <v>122</v>
      </c>
      <c r="C62" s="34">
        <v>4</v>
      </c>
      <c r="D62" s="27"/>
      <c r="E62" s="27"/>
      <c r="F62" s="27"/>
      <c r="G62" s="35">
        <f>'INSUMOS - SINAPI'!C63</f>
        <v>0.8</v>
      </c>
      <c r="H62" s="109">
        <f t="shared" si="1"/>
        <v>3.2</v>
      </c>
      <c r="I62" s="202" t="s">
        <v>17</v>
      </c>
    </row>
    <row r="63" spans="1:9" s="33" customFormat="1">
      <c r="A63" s="111" t="s">
        <v>150</v>
      </c>
      <c r="B63" s="26" t="s">
        <v>122</v>
      </c>
      <c r="C63" s="34">
        <v>4</v>
      </c>
      <c r="D63" s="27"/>
      <c r="E63" s="27"/>
      <c r="F63" s="27"/>
      <c r="G63" s="35">
        <f>'INSUMOS - SINAPI'!C64</f>
        <v>7.38</v>
      </c>
      <c r="H63" s="109">
        <f t="shared" si="1"/>
        <v>29.52</v>
      </c>
      <c r="I63" s="202" t="s">
        <v>18</v>
      </c>
    </row>
    <row r="64" spans="1:9" s="33" customFormat="1" ht="15" customHeight="1">
      <c r="A64" s="111" t="s">
        <v>404</v>
      </c>
      <c r="B64" s="26" t="s">
        <v>122</v>
      </c>
      <c r="C64" s="34">
        <v>190</v>
      </c>
      <c r="D64" s="27"/>
      <c r="E64" s="27"/>
      <c r="F64" s="27"/>
      <c r="G64" s="35">
        <f>'INSUMOS - SINAPI'!C65</f>
        <v>48.9</v>
      </c>
      <c r="H64" s="109">
        <f t="shared" si="1"/>
        <v>9291</v>
      </c>
      <c r="I64" s="202" t="s">
        <v>19</v>
      </c>
    </row>
    <row r="65" spans="1:9" s="33" customFormat="1">
      <c r="A65" s="111" t="s">
        <v>154</v>
      </c>
      <c r="B65" s="26" t="s">
        <v>213</v>
      </c>
      <c r="C65" s="34">
        <v>0.35</v>
      </c>
      <c r="D65" s="27"/>
      <c r="E65" s="27"/>
      <c r="F65" s="27"/>
      <c r="G65" s="35">
        <f>'INSUMOS - SINAPI'!C66</f>
        <v>450</v>
      </c>
      <c r="H65" s="109">
        <f t="shared" si="1"/>
        <v>157.5</v>
      </c>
      <c r="I65" s="202" t="s">
        <v>20</v>
      </c>
    </row>
    <row r="66" spans="1:9" s="33" customFormat="1">
      <c r="A66" s="111" t="s">
        <v>165</v>
      </c>
      <c r="B66" s="26" t="s">
        <v>146</v>
      </c>
      <c r="C66" s="34">
        <v>50</v>
      </c>
      <c r="D66" s="27"/>
      <c r="E66" s="27"/>
      <c r="F66" s="27"/>
      <c r="G66" s="35">
        <f>'INSUMOS - SINAPI'!C67</f>
        <v>12.88</v>
      </c>
      <c r="H66" s="109">
        <f t="shared" si="1"/>
        <v>644</v>
      </c>
      <c r="I66" s="202" t="s">
        <v>21</v>
      </c>
    </row>
    <row r="67" spans="1:9" s="33" customFormat="1">
      <c r="A67" s="111" t="s">
        <v>162</v>
      </c>
      <c r="B67" s="26" t="s">
        <v>122</v>
      </c>
      <c r="C67" s="34">
        <v>20</v>
      </c>
      <c r="D67" s="27"/>
      <c r="E67" s="27"/>
      <c r="F67" s="27"/>
      <c r="G67" s="35">
        <f>'INSUMOS - SINAPI'!C69</f>
        <v>6.8</v>
      </c>
      <c r="H67" s="109">
        <f t="shared" si="1"/>
        <v>136</v>
      </c>
      <c r="I67" s="202" t="s">
        <v>22</v>
      </c>
    </row>
    <row r="68" spans="1:9" s="33" customFormat="1" ht="12.75" customHeight="1">
      <c r="A68" s="111" t="s">
        <v>151</v>
      </c>
      <c r="B68" s="26" t="s">
        <v>122</v>
      </c>
      <c r="C68" s="34">
        <v>2</v>
      </c>
      <c r="D68" s="27"/>
      <c r="E68" s="27"/>
      <c r="F68" s="27"/>
      <c r="G68" s="35">
        <f>'INSUMOS - SINAPI'!C70</f>
        <v>12.88</v>
      </c>
      <c r="H68" s="109">
        <f t="shared" si="1"/>
        <v>25.76</v>
      </c>
      <c r="I68" s="202" t="s">
        <v>24</v>
      </c>
    </row>
    <row r="69" spans="1:9" s="33" customFormat="1">
      <c r="A69" s="111" t="s">
        <v>348</v>
      </c>
      <c r="B69" s="26" t="s">
        <v>122</v>
      </c>
      <c r="C69" s="34">
        <v>5</v>
      </c>
      <c r="D69" s="27"/>
      <c r="E69" s="27"/>
      <c r="F69" s="27"/>
      <c r="G69" s="35">
        <f>'INSUMOS - SINAPI'!C71</f>
        <v>6.9</v>
      </c>
      <c r="H69" s="109">
        <f t="shared" si="1"/>
        <v>34.5</v>
      </c>
      <c r="I69" s="202" t="s">
        <v>23</v>
      </c>
    </row>
    <row r="70" spans="1:9" s="33" customFormat="1" ht="25.5">
      <c r="A70" s="111" t="s">
        <v>134</v>
      </c>
      <c r="B70" s="26" t="s">
        <v>87</v>
      </c>
      <c r="C70" s="34">
        <v>20</v>
      </c>
      <c r="D70" s="27"/>
      <c r="E70" s="27"/>
      <c r="F70" s="27"/>
      <c r="G70" s="35">
        <f>'INSUMOS - SINAPI'!C72</f>
        <v>1.74</v>
      </c>
      <c r="H70" s="109">
        <f t="shared" si="1"/>
        <v>34.799999999999997</v>
      </c>
      <c r="I70" s="202" t="s">
        <v>26</v>
      </c>
    </row>
    <row r="71" spans="1:9" s="33" customFormat="1" ht="12.75" customHeight="1">
      <c r="A71" s="111" t="s">
        <v>160</v>
      </c>
      <c r="B71" s="26" t="s">
        <v>122</v>
      </c>
      <c r="C71" s="34">
        <v>2</v>
      </c>
      <c r="D71" s="27"/>
      <c r="E71" s="27"/>
      <c r="F71" s="27"/>
      <c r="G71" s="35">
        <f>'INSUMOS - SINAPI'!C73</f>
        <v>4.5599999999999996</v>
      </c>
      <c r="H71" s="109">
        <f t="shared" si="1"/>
        <v>9.1199999999999992</v>
      </c>
      <c r="I71" s="202" t="s">
        <v>27</v>
      </c>
    </row>
    <row r="72" spans="1:9" s="33" customFormat="1" ht="25.5">
      <c r="A72" s="111" t="s">
        <v>135</v>
      </c>
      <c r="B72" s="26" t="s">
        <v>87</v>
      </c>
      <c r="C72" s="34">
        <v>15</v>
      </c>
      <c r="D72" s="27"/>
      <c r="E72" s="27"/>
      <c r="F72" s="27"/>
      <c r="G72" s="35">
        <f>'INSUMOS - SINAPI'!C74</f>
        <v>8.0399999999999991</v>
      </c>
      <c r="H72" s="109">
        <f t="shared" si="1"/>
        <v>120.6</v>
      </c>
      <c r="I72" s="229" t="s">
        <v>25</v>
      </c>
    </row>
    <row r="73" spans="1:9" s="33" customFormat="1" ht="25.5">
      <c r="A73" s="111" t="s">
        <v>136</v>
      </c>
      <c r="B73" s="26" t="s">
        <v>87</v>
      </c>
      <c r="C73" s="34">
        <v>5</v>
      </c>
      <c r="D73" s="27"/>
      <c r="E73" s="27"/>
      <c r="F73" s="27"/>
      <c r="G73" s="35">
        <f>'INSUMOS - SINAPI'!C75</f>
        <v>2.78</v>
      </c>
      <c r="H73" s="109">
        <f t="shared" si="1"/>
        <v>13.899999999999999</v>
      </c>
      <c r="I73" s="229" t="s">
        <v>28</v>
      </c>
    </row>
    <row r="74" spans="1:9" s="33" customFormat="1" ht="25.5">
      <c r="A74" s="111" t="s">
        <v>137</v>
      </c>
      <c r="B74" s="26" t="s">
        <v>87</v>
      </c>
      <c r="C74" s="34">
        <v>15</v>
      </c>
      <c r="D74" s="27"/>
      <c r="E74" s="27"/>
      <c r="F74" s="27"/>
      <c r="G74" s="35">
        <f>'INSUMOS - SINAPI'!C76</f>
        <v>5.26</v>
      </c>
      <c r="H74" s="109">
        <f t="shared" si="1"/>
        <v>78.899999999999991</v>
      </c>
      <c r="I74" s="229" t="s">
        <v>29</v>
      </c>
    </row>
    <row r="75" spans="1:9" s="33" customFormat="1">
      <c r="A75" s="111" t="s">
        <v>152</v>
      </c>
      <c r="B75" s="26" t="s">
        <v>122</v>
      </c>
      <c r="C75" s="34">
        <v>4</v>
      </c>
      <c r="D75" s="27"/>
      <c r="E75" s="27"/>
      <c r="F75" s="27"/>
      <c r="G75" s="35">
        <f>'INSUMOS - SINAPI'!C78</f>
        <v>1.81</v>
      </c>
      <c r="H75" s="109">
        <f t="shared" si="1"/>
        <v>7.24</v>
      </c>
      <c r="I75" s="229" t="s">
        <v>46</v>
      </c>
    </row>
    <row r="76" spans="1:9" s="33" customFormat="1">
      <c r="A76" s="111" t="s">
        <v>127</v>
      </c>
      <c r="B76" s="26" t="s">
        <v>122</v>
      </c>
      <c r="C76" s="34">
        <v>2</v>
      </c>
      <c r="D76" s="27"/>
      <c r="E76" s="27"/>
      <c r="F76" s="27"/>
      <c r="G76" s="35">
        <f>'INSUMOS - SINAPI'!C79</f>
        <v>86</v>
      </c>
      <c r="H76" s="109">
        <f t="shared" si="1"/>
        <v>172</v>
      </c>
      <c r="I76" s="229" t="s">
        <v>47</v>
      </c>
    </row>
    <row r="77" spans="1:9" s="33" customFormat="1">
      <c r="A77" s="569" t="s">
        <v>111</v>
      </c>
      <c r="B77" s="570"/>
      <c r="C77" s="570"/>
      <c r="D77" s="570"/>
      <c r="E77" s="570"/>
      <c r="F77" s="570"/>
      <c r="G77" s="570"/>
      <c r="H77" s="112">
        <f>SUM(H23:H76)</f>
        <v>22455.510000000002</v>
      </c>
      <c r="I77" s="187"/>
    </row>
    <row r="78" spans="1:9" s="33" customFormat="1">
      <c r="A78" s="566" t="s">
        <v>115</v>
      </c>
      <c r="B78" s="567"/>
      <c r="C78" s="567"/>
      <c r="D78" s="567"/>
      <c r="E78" s="567"/>
      <c r="F78" s="567"/>
      <c r="G78" s="567"/>
      <c r="H78" s="568"/>
      <c r="I78" s="187"/>
    </row>
    <row r="79" spans="1:9" s="33" customFormat="1">
      <c r="A79" s="106" t="s">
        <v>101</v>
      </c>
      <c r="B79" s="26" t="s">
        <v>102</v>
      </c>
      <c r="C79" s="27" t="s">
        <v>61</v>
      </c>
      <c r="D79" s="27"/>
      <c r="E79" s="27"/>
      <c r="F79" s="27"/>
      <c r="G79" s="26" t="s">
        <v>113</v>
      </c>
      <c r="H79" s="107" t="s">
        <v>107</v>
      </c>
      <c r="I79" s="187"/>
    </row>
    <row r="80" spans="1:9" s="33" customFormat="1">
      <c r="A80" s="111" t="s">
        <v>197</v>
      </c>
      <c r="B80" s="26" t="s">
        <v>108</v>
      </c>
      <c r="C80" s="37">
        <v>90</v>
      </c>
      <c r="D80" s="27"/>
      <c r="E80" s="27"/>
      <c r="F80" s="27"/>
      <c r="G80" s="35">
        <f>'INSUMOS - SINAPI'!C48</f>
        <v>4.55</v>
      </c>
      <c r="H80" s="109">
        <f>C80*G80</f>
        <v>409.5</v>
      </c>
      <c r="I80" s="202" t="s">
        <v>320</v>
      </c>
    </row>
    <row r="81" spans="1:10" s="33" customFormat="1">
      <c r="A81" s="111" t="s">
        <v>198</v>
      </c>
      <c r="B81" s="26" t="s">
        <v>108</v>
      </c>
      <c r="C81" s="37">
        <v>90</v>
      </c>
      <c r="D81" s="27"/>
      <c r="E81" s="27"/>
      <c r="F81" s="27"/>
      <c r="G81" s="35">
        <f>'INSUMOS - SINAPI'!C58</f>
        <v>3.42</v>
      </c>
      <c r="H81" s="109">
        <f>C81*G81</f>
        <v>307.8</v>
      </c>
      <c r="I81" s="202" t="s">
        <v>57</v>
      </c>
    </row>
    <row r="82" spans="1:10" s="33" customFormat="1">
      <c r="A82" s="431" t="s">
        <v>205</v>
      </c>
      <c r="B82" s="432" t="s">
        <v>108</v>
      </c>
      <c r="C82" s="433">
        <v>45</v>
      </c>
      <c r="D82" s="434"/>
      <c r="E82" s="434"/>
      <c r="F82" s="434"/>
      <c r="G82" s="435">
        <f>'INSUMOS - SINAPI'!C28</f>
        <v>4.55</v>
      </c>
      <c r="H82" s="109">
        <f>C82*G82</f>
        <v>204.75</v>
      </c>
      <c r="I82" s="202" t="s">
        <v>321</v>
      </c>
    </row>
    <row r="83" spans="1:10" s="33" customFormat="1">
      <c r="A83" s="431" t="s">
        <v>378</v>
      </c>
      <c r="B83" s="432" t="s">
        <v>108</v>
      </c>
      <c r="C83" s="433">
        <v>45</v>
      </c>
      <c r="D83" s="434"/>
      <c r="E83" s="434"/>
      <c r="F83" s="434"/>
      <c r="G83" s="435">
        <f>'INSUMOS - SINAPI'!C6</f>
        <v>3.42</v>
      </c>
      <c r="H83" s="109">
        <f>C83*G83</f>
        <v>153.9</v>
      </c>
      <c r="I83" s="202" t="s">
        <v>58</v>
      </c>
    </row>
    <row r="84" spans="1:10" s="33" customFormat="1">
      <c r="A84" s="569" t="s">
        <v>111</v>
      </c>
      <c r="B84" s="570"/>
      <c r="C84" s="570"/>
      <c r="D84" s="570"/>
      <c r="E84" s="570"/>
      <c r="F84" s="570"/>
      <c r="G84" s="570"/>
      <c r="H84" s="110">
        <f>SUM(H80:H83)</f>
        <v>1075.95</v>
      </c>
      <c r="I84" s="187"/>
    </row>
    <row r="85" spans="1:10" s="33" customFormat="1">
      <c r="A85" s="571" t="s">
        <v>361</v>
      </c>
      <c r="B85" s="589"/>
      <c r="C85" s="589"/>
      <c r="D85" s="589"/>
      <c r="E85" s="589"/>
      <c r="F85" s="590"/>
      <c r="G85" s="235">
        <f>'Enc. Soc.'!$C$40</f>
        <v>120.75</v>
      </c>
      <c r="H85" s="205">
        <f>ROUND((H84*G85%),2)</f>
        <v>1299.21</v>
      </c>
      <c r="I85" s="187"/>
    </row>
    <row r="86" spans="1:10" s="33" customFormat="1">
      <c r="A86" s="113" t="s">
        <v>116</v>
      </c>
      <c r="B86" s="36">
        <v>1</v>
      </c>
      <c r="C86" s="570" t="s">
        <v>117</v>
      </c>
      <c r="D86" s="570"/>
      <c r="E86" s="570"/>
      <c r="F86" s="570"/>
      <c r="G86" s="570"/>
      <c r="H86" s="110">
        <f>H84+H77+H85</f>
        <v>24830.670000000002</v>
      </c>
      <c r="I86" s="187"/>
    </row>
    <row r="87" spans="1:10" s="33" customFormat="1">
      <c r="A87" s="582" t="s">
        <v>323</v>
      </c>
      <c r="B87" s="583"/>
      <c r="C87" s="583"/>
      <c r="D87" s="583"/>
      <c r="E87" s="583"/>
      <c r="F87" s="583"/>
      <c r="G87" s="584"/>
      <c r="H87" s="114">
        <f>H86/B86</f>
        <v>24830.670000000002</v>
      </c>
      <c r="I87" s="187"/>
    </row>
    <row r="88" spans="1:10" s="33" customFormat="1">
      <c r="A88" s="138" t="s">
        <v>118</v>
      </c>
      <c r="B88" s="154">
        <f>'BDI - SERVIÇOS'!$D$27/100</f>
        <v>0.255</v>
      </c>
      <c r="C88" s="139"/>
      <c r="D88" s="139"/>
      <c r="E88" s="139"/>
      <c r="F88" s="139"/>
      <c r="G88" s="140"/>
      <c r="H88" s="114">
        <f>ROUND((H87*B88),2)</f>
        <v>6331.82</v>
      </c>
      <c r="I88" s="187"/>
    </row>
    <row r="89" spans="1:10" s="33" customFormat="1" ht="13.5" thickBot="1">
      <c r="A89" s="592" t="s">
        <v>120</v>
      </c>
      <c r="B89" s="593"/>
      <c r="C89" s="593"/>
      <c r="D89" s="593"/>
      <c r="E89" s="593"/>
      <c r="F89" s="593"/>
      <c r="G89" s="593"/>
      <c r="H89" s="208">
        <f>H88+H87</f>
        <v>31162.49</v>
      </c>
      <c r="I89" s="187"/>
      <c r="J89" s="33">
        <v>30396.74</v>
      </c>
    </row>
    <row r="90" spans="1:10" s="33" customFormat="1" ht="15.75">
      <c r="A90" s="203" t="s">
        <v>97</v>
      </c>
      <c r="B90" s="446" t="s">
        <v>66</v>
      </c>
      <c r="C90" s="600" t="s">
        <v>98</v>
      </c>
      <c r="D90" s="600"/>
      <c r="E90" s="600"/>
      <c r="F90" s="600"/>
      <c r="G90" s="600"/>
      <c r="H90" s="601"/>
      <c r="I90" s="187"/>
    </row>
    <row r="91" spans="1:10" s="33" customFormat="1">
      <c r="A91" s="602" t="s">
        <v>336</v>
      </c>
      <c r="B91" s="603"/>
      <c r="C91" s="603"/>
      <c r="D91" s="603"/>
      <c r="E91" s="603"/>
      <c r="F91" s="603"/>
      <c r="G91" s="574" t="s">
        <v>335</v>
      </c>
      <c r="H91" s="575"/>
      <c r="I91" s="187"/>
    </row>
    <row r="92" spans="1:10" s="33" customFormat="1">
      <c r="A92" s="604" t="s">
        <v>203</v>
      </c>
      <c r="B92" s="605"/>
      <c r="C92" s="605"/>
      <c r="D92" s="605"/>
      <c r="E92" s="605"/>
      <c r="F92" s="605"/>
      <c r="G92" s="447" t="s">
        <v>99</v>
      </c>
      <c r="H92" s="448" t="s">
        <v>77</v>
      </c>
      <c r="I92" s="187"/>
    </row>
    <row r="93" spans="1:10" s="33" customFormat="1">
      <c r="A93" s="594" t="s">
        <v>112</v>
      </c>
      <c r="B93" s="595"/>
      <c r="C93" s="595"/>
      <c r="D93" s="595"/>
      <c r="E93" s="595"/>
      <c r="F93" s="595"/>
      <c r="G93" s="595"/>
      <c r="H93" s="596"/>
    </row>
    <row r="94" spans="1:10" s="33" customFormat="1">
      <c r="A94" s="449" t="s">
        <v>101</v>
      </c>
      <c r="B94" s="450" t="s">
        <v>102</v>
      </c>
      <c r="C94" s="451" t="s">
        <v>61</v>
      </c>
      <c r="D94" s="451"/>
      <c r="E94" s="451"/>
      <c r="F94" s="451"/>
      <c r="G94" s="450" t="s">
        <v>113</v>
      </c>
      <c r="H94" s="452" t="s">
        <v>107</v>
      </c>
    </row>
    <row r="95" spans="1:10" s="33" customFormat="1" ht="25.5">
      <c r="A95" s="453" t="s">
        <v>204</v>
      </c>
      <c r="B95" s="454" t="s">
        <v>202</v>
      </c>
      <c r="C95" s="455">
        <v>1</v>
      </c>
      <c r="D95" s="455"/>
      <c r="E95" s="455"/>
      <c r="F95" s="455"/>
      <c r="G95" s="456">
        <f>'INSUMOS - SINAPI'!C52</f>
        <v>235</v>
      </c>
      <c r="H95" s="457">
        <f>ROUND((C95*G95),2)</f>
        <v>235</v>
      </c>
      <c r="I95" s="441" t="s">
        <v>356</v>
      </c>
    </row>
    <row r="96" spans="1:10" s="33" customFormat="1">
      <c r="A96" s="453" t="s">
        <v>325</v>
      </c>
      <c r="B96" s="454" t="s">
        <v>87</v>
      </c>
      <c r="C96" s="455">
        <v>1</v>
      </c>
      <c r="D96" s="455"/>
      <c r="E96" s="455"/>
      <c r="F96" s="455"/>
      <c r="G96" s="456">
        <f>'INSUMOS - SINAPI'!C49</f>
        <v>3.69</v>
      </c>
      <c r="H96" s="457">
        <f>ROUND((C96*G96),2)</f>
        <v>3.69</v>
      </c>
      <c r="I96" s="441" t="s">
        <v>327</v>
      </c>
    </row>
    <row r="97" spans="1:10" s="33" customFormat="1">
      <c r="A97" s="453" t="s">
        <v>328</v>
      </c>
      <c r="B97" s="454" t="s">
        <v>87</v>
      </c>
      <c r="C97" s="455">
        <v>4</v>
      </c>
      <c r="D97" s="455"/>
      <c r="E97" s="455"/>
      <c r="F97" s="455"/>
      <c r="G97" s="456">
        <f>'INSUMOS - SINAPI'!C50</f>
        <v>5.27</v>
      </c>
      <c r="H97" s="457">
        <f>ROUND((C97*G97),2)</f>
        <v>21.08</v>
      </c>
      <c r="I97" s="441" t="s">
        <v>329</v>
      </c>
    </row>
    <row r="98" spans="1:10" s="33" customFormat="1">
      <c r="A98" s="453" t="s">
        <v>123</v>
      </c>
      <c r="B98" s="454" t="s">
        <v>124</v>
      </c>
      <c r="C98" s="455">
        <v>0.11</v>
      </c>
      <c r="D98" s="455"/>
      <c r="E98" s="455"/>
      <c r="F98" s="455"/>
      <c r="G98" s="456">
        <f>'INSUMOS - SINAPI'!C55</f>
        <v>6.47</v>
      </c>
      <c r="H98" s="457">
        <f>ROUND((C98*G98),2)</f>
        <v>0.71</v>
      </c>
      <c r="I98" s="441" t="s">
        <v>12</v>
      </c>
    </row>
    <row r="99" spans="1:10" s="33" customFormat="1">
      <c r="A99" s="606" t="s">
        <v>111</v>
      </c>
      <c r="B99" s="607"/>
      <c r="C99" s="607"/>
      <c r="D99" s="607"/>
      <c r="E99" s="607"/>
      <c r="F99" s="607"/>
      <c r="G99" s="607"/>
      <c r="H99" s="458">
        <f>SUM(H95:H98)</f>
        <v>260.47999999999996</v>
      </c>
      <c r="I99" s="187"/>
    </row>
    <row r="100" spans="1:10" s="33" customFormat="1">
      <c r="A100" s="608" t="s">
        <v>114</v>
      </c>
      <c r="B100" s="609"/>
      <c r="C100" s="609"/>
      <c r="D100" s="609"/>
      <c r="E100" s="609"/>
      <c r="F100" s="609"/>
      <c r="G100" s="609"/>
      <c r="H100" s="610"/>
      <c r="I100" s="187"/>
    </row>
    <row r="101" spans="1:10" s="33" customFormat="1">
      <c r="A101" s="459" t="s">
        <v>101</v>
      </c>
      <c r="B101" s="460" t="s">
        <v>102</v>
      </c>
      <c r="C101" s="460" t="s">
        <v>61</v>
      </c>
      <c r="D101" s="460"/>
      <c r="E101" s="460"/>
      <c r="F101" s="460"/>
      <c r="G101" s="461" t="s">
        <v>113</v>
      </c>
      <c r="H101" s="462" t="s">
        <v>107</v>
      </c>
      <c r="I101" s="187"/>
    </row>
    <row r="102" spans="1:10" s="33" customFormat="1" ht="38.25">
      <c r="A102" s="463" t="s">
        <v>354</v>
      </c>
      <c r="B102" s="464" t="s">
        <v>89</v>
      </c>
      <c r="C102" s="465">
        <v>0.01</v>
      </c>
      <c r="D102" s="460"/>
      <c r="E102" s="466"/>
      <c r="F102" s="466"/>
      <c r="G102" s="467">
        <f>$H$232</f>
        <v>218.71</v>
      </c>
      <c r="H102" s="468">
        <f>C102*G102</f>
        <v>2.1871</v>
      </c>
      <c r="I102" s="232" t="s">
        <v>355</v>
      </c>
    </row>
    <row r="103" spans="1:10" s="33" customFormat="1">
      <c r="A103" s="611" t="s">
        <v>111</v>
      </c>
      <c r="B103" s="591"/>
      <c r="C103" s="591"/>
      <c r="D103" s="591"/>
      <c r="E103" s="591"/>
      <c r="F103" s="591"/>
      <c r="G103" s="591"/>
      <c r="H103" s="468">
        <f>SUM(H102:H102)</f>
        <v>2.1871</v>
      </c>
      <c r="I103" s="442"/>
    </row>
    <row r="104" spans="1:10" s="33" customFormat="1">
      <c r="A104" s="612" t="s">
        <v>115</v>
      </c>
      <c r="B104" s="613"/>
      <c r="C104" s="613"/>
      <c r="D104" s="613"/>
      <c r="E104" s="613"/>
      <c r="F104" s="613"/>
      <c r="G104" s="613"/>
      <c r="H104" s="614"/>
      <c r="I104" s="443"/>
      <c r="J104" s="234"/>
    </row>
    <row r="105" spans="1:10" s="33" customFormat="1">
      <c r="A105" s="469" t="s">
        <v>101</v>
      </c>
      <c r="B105" s="470" t="s">
        <v>102</v>
      </c>
      <c r="C105" s="471" t="s">
        <v>61</v>
      </c>
      <c r="D105" s="471"/>
      <c r="E105" s="471"/>
      <c r="F105" s="471"/>
      <c r="G105" s="470" t="s">
        <v>113</v>
      </c>
      <c r="H105" s="462" t="s">
        <v>107</v>
      </c>
      <c r="I105" s="444"/>
    </row>
    <row r="106" spans="1:10" s="33" customFormat="1">
      <c r="A106" s="472" t="s">
        <v>198</v>
      </c>
      <c r="B106" s="470" t="s">
        <v>108</v>
      </c>
      <c r="C106" s="473">
        <v>2</v>
      </c>
      <c r="D106" s="474"/>
      <c r="E106" s="475"/>
      <c r="F106" s="475"/>
      <c r="G106" s="476">
        <f>'INSUMOS - SINAPI'!$C$58</f>
        <v>3.42</v>
      </c>
      <c r="H106" s="477">
        <f>ROUND((C106*G106),2)</f>
        <v>6.84</v>
      </c>
      <c r="I106" s="441" t="s">
        <v>357</v>
      </c>
    </row>
    <row r="107" spans="1:10" s="33" customFormat="1">
      <c r="A107" s="611" t="s">
        <v>111</v>
      </c>
      <c r="B107" s="591"/>
      <c r="C107" s="591"/>
      <c r="D107" s="591"/>
      <c r="E107" s="591"/>
      <c r="F107" s="591"/>
      <c r="G107" s="591"/>
      <c r="H107" s="478">
        <f>SUM(H106:H106)</f>
        <v>6.84</v>
      </c>
    </row>
    <row r="108" spans="1:10" s="33" customFormat="1">
      <c r="A108" s="571" t="s">
        <v>361</v>
      </c>
      <c r="B108" s="572"/>
      <c r="C108" s="572"/>
      <c r="D108" s="572"/>
      <c r="E108" s="572"/>
      <c r="F108" s="573"/>
      <c r="G108" s="235">
        <f>'Enc. Soc.'!$C$40</f>
        <v>120.75</v>
      </c>
      <c r="H108" s="205">
        <f>ROUND((H107*G108%),2)</f>
        <v>8.26</v>
      </c>
    </row>
    <row r="109" spans="1:10" s="33" customFormat="1">
      <c r="A109" s="123" t="s">
        <v>116</v>
      </c>
      <c r="B109" s="479">
        <v>1</v>
      </c>
      <c r="C109" s="591" t="s">
        <v>117</v>
      </c>
      <c r="D109" s="591"/>
      <c r="E109" s="591"/>
      <c r="F109" s="591"/>
      <c r="G109" s="591"/>
      <c r="H109" s="478">
        <f>H107+H103+H99+H108</f>
        <v>277.76709999999997</v>
      </c>
      <c r="I109" s="187" t="s">
        <v>9</v>
      </c>
      <c r="J109" s="33">
        <v>287.04000000000002</v>
      </c>
    </row>
    <row r="110" spans="1:10" s="33" customFormat="1">
      <c r="A110" s="597" t="s">
        <v>323</v>
      </c>
      <c r="B110" s="598"/>
      <c r="C110" s="598"/>
      <c r="D110" s="598"/>
      <c r="E110" s="598"/>
      <c r="F110" s="598"/>
      <c r="G110" s="599"/>
      <c r="H110" s="480">
        <f>H109/B109</f>
        <v>277.76709999999997</v>
      </c>
      <c r="I110" s="187"/>
    </row>
    <row r="111" spans="1:10" s="33" customFormat="1">
      <c r="A111" s="481" t="s">
        <v>118</v>
      </c>
      <c r="B111" s="482">
        <f>'BDI - SERVIÇOS'!$D$27/100</f>
        <v>0.255</v>
      </c>
      <c r="C111" s="483"/>
      <c r="D111" s="483"/>
      <c r="E111" s="483"/>
      <c r="F111" s="483"/>
      <c r="G111" s="484"/>
      <c r="H111" s="485">
        <f>ROUND((H110*B111),2)</f>
        <v>70.83</v>
      </c>
      <c r="I111" s="187"/>
    </row>
    <row r="112" spans="1:10" s="33" customFormat="1" ht="13.5" thickBot="1">
      <c r="A112" s="576" t="s">
        <v>120</v>
      </c>
      <c r="B112" s="577"/>
      <c r="C112" s="577"/>
      <c r="D112" s="577"/>
      <c r="E112" s="577"/>
      <c r="F112" s="577"/>
      <c r="G112" s="578"/>
      <c r="H112" s="480">
        <f>H110+H111</f>
        <v>348.59709999999995</v>
      </c>
      <c r="I112" s="187"/>
    </row>
    <row r="113" spans="1:9" s="33" customFormat="1" ht="15.75">
      <c r="A113" s="209" t="s">
        <v>97</v>
      </c>
      <c r="B113" s="233" t="s">
        <v>220</v>
      </c>
      <c r="C113" s="655" t="s">
        <v>98</v>
      </c>
      <c r="D113" s="655"/>
      <c r="E113" s="655"/>
      <c r="F113" s="655"/>
      <c r="G113" s="655"/>
      <c r="H113" s="656"/>
      <c r="I113" s="186"/>
    </row>
    <row r="114" spans="1:9" s="33" customFormat="1">
      <c r="A114" s="657" t="s">
        <v>336</v>
      </c>
      <c r="B114" s="658"/>
      <c r="C114" s="658"/>
      <c r="D114" s="658"/>
      <c r="E114" s="658"/>
      <c r="F114" s="658"/>
      <c r="G114" s="562" t="s">
        <v>335</v>
      </c>
      <c r="H114" s="563"/>
      <c r="I114" s="187"/>
    </row>
    <row r="115" spans="1:9" s="33" customFormat="1">
      <c r="A115" s="659" t="s">
        <v>358</v>
      </c>
      <c r="B115" s="660"/>
      <c r="C115" s="660"/>
      <c r="D115" s="660"/>
      <c r="E115" s="660"/>
      <c r="F115" s="660"/>
      <c r="G115" s="190" t="s">
        <v>99</v>
      </c>
      <c r="H115" s="210" t="s">
        <v>79</v>
      </c>
      <c r="I115" s="187"/>
    </row>
    <row r="116" spans="1:9" s="33" customFormat="1">
      <c r="A116" s="641" t="s">
        <v>100</v>
      </c>
      <c r="B116" s="642"/>
      <c r="C116" s="642"/>
      <c r="D116" s="642"/>
      <c r="E116" s="642"/>
      <c r="F116" s="642"/>
      <c r="G116" s="642"/>
      <c r="H116" s="643"/>
      <c r="I116" s="187"/>
    </row>
    <row r="117" spans="1:9" s="33" customFormat="1">
      <c r="A117" s="211" t="s">
        <v>101</v>
      </c>
      <c r="B117" s="191" t="s">
        <v>102</v>
      </c>
      <c r="C117" s="188" t="s">
        <v>61</v>
      </c>
      <c r="D117" s="192" t="s">
        <v>103</v>
      </c>
      <c r="E117" s="192" t="s">
        <v>104</v>
      </c>
      <c r="F117" s="193" t="s">
        <v>105</v>
      </c>
      <c r="G117" s="193" t="s">
        <v>106</v>
      </c>
      <c r="H117" s="212" t="s">
        <v>107</v>
      </c>
      <c r="I117" s="187"/>
    </row>
    <row r="118" spans="1:9" s="33" customFormat="1">
      <c r="A118" s="213" t="s">
        <v>367</v>
      </c>
      <c r="B118" s="191" t="s">
        <v>79</v>
      </c>
      <c r="C118" s="194">
        <v>1</v>
      </c>
      <c r="D118" s="195">
        <v>1</v>
      </c>
      <c r="E118" s="192"/>
      <c r="F118" s="198">
        <f>veículos!I51</f>
        <v>2143.027</v>
      </c>
      <c r="G118" s="193">
        <v>0</v>
      </c>
      <c r="H118" s="214">
        <f>C118*D118*F118+C118*E118*G118</f>
        <v>2143.027</v>
      </c>
      <c r="I118" s="445" t="s">
        <v>37</v>
      </c>
    </row>
    <row r="119" spans="1:9" s="33" customFormat="1">
      <c r="A119" s="639" t="s">
        <v>111</v>
      </c>
      <c r="B119" s="640"/>
      <c r="C119" s="640"/>
      <c r="D119" s="640"/>
      <c r="E119" s="640"/>
      <c r="F119" s="640"/>
      <c r="G119" s="640"/>
      <c r="H119" s="205">
        <f>SUM(H118:H118)</f>
        <v>2143.027</v>
      </c>
      <c r="I119" s="187"/>
    </row>
    <row r="120" spans="1:9" s="33" customFormat="1">
      <c r="A120" s="641" t="s">
        <v>112</v>
      </c>
      <c r="B120" s="642"/>
      <c r="C120" s="642"/>
      <c r="D120" s="642"/>
      <c r="E120" s="642"/>
      <c r="F120" s="642"/>
      <c r="G120" s="642"/>
      <c r="H120" s="643"/>
      <c r="I120" s="187"/>
    </row>
    <row r="121" spans="1:9" s="33" customFormat="1">
      <c r="A121" s="211" t="s">
        <v>101</v>
      </c>
      <c r="B121" s="191" t="s">
        <v>102</v>
      </c>
      <c r="C121" s="188" t="s">
        <v>61</v>
      </c>
      <c r="D121" s="188"/>
      <c r="E121" s="188"/>
      <c r="F121" s="188"/>
      <c r="G121" s="191" t="s">
        <v>113</v>
      </c>
      <c r="H121" s="212" t="s">
        <v>107</v>
      </c>
      <c r="I121" s="187"/>
    </row>
    <row r="122" spans="1:9" s="33" customFormat="1" ht="25.5">
      <c r="A122" s="215" t="s">
        <v>39</v>
      </c>
      <c r="B122" s="191" t="s">
        <v>79</v>
      </c>
      <c r="C122" s="196">
        <f>(C128+C129+C130+C131)/12</f>
        <v>0.58333333333333337</v>
      </c>
      <c r="D122" s="188"/>
      <c r="E122" s="188"/>
      <c r="F122" s="188"/>
      <c r="G122" s="197">
        <f>'INSUMOS - SINAPI'!C9+'INSUMOS - SINAPI'!C20</f>
        <v>33.880000000000003</v>
      </c>
      <c r="H122" s="214">
        <f>C122*G122</f>
        <v>19.763333333333335</v>
      </c>
      <c r="I122" s="187"/>
    </row>
    <row r="123" spans="1:9" s="33" customFormat="1">
      <c r="A123" s="215" t="s">
        <v>40</v>
      </c>
      <c r="B123" s="191" t="s">
        <v>30</v>
      </c>
      <c r="C123" s="196">
        <v>2</v>
      </c>
      <c r="D123" s="188"/>
      <c r="E123" s="188"/>
      <c r="F123" s="188"/>
      <c r="G123" s="198">
        <v>50</v>
      </c>
      <c r="H123" s="214">
        <f>C123*G123</f>
        <v>100</v>
      </c>
      <c r="I123" s="187" t="s">
        <v>42</v>
      </c>
    </row>
    <row r="124" spans="1:9" s="33" customFormat="1">
      <c r="A124" s="215" t="s">
        <v>364</v>
      </c>
      <c r="B124" s="191" t="s">
        <v>41</v>
      </c>
      <c r="C124" s="196">
        <v>1</v>
      </c>
      <c r="D124" s="188"/>
      <c r="E124" s="188"/>
      <c r="F124" s="188"/>
      <c r="G124" s="198">
        <v>200</v>
      </c>
      <c r="H124" s="214">
        <f>C124*G124</f>
        <v>200</v>
      </c>
      <c r="I124" s="187" t="s">
        <v>42</v>
      </c>
    </row>
    <row r="125" spans="1:9" s="33" customFormat="1">
      <c r="A125" s="639" t="s">
        <v>111</v>
      </c>
      <c r="B125" s="640"/>
      <c r="C125" s="640"/>
      <c r="D125" s="640"/>
      <c r="E125" s="640"/>
      <c r="F125" s="640"/>
      <c r="G125" s="640"/>
      <c r="H125" s="205">
        <f>SUM(H122:H124)</f>
        <v>319.76333333333332</v>
      </c>
      <c r="I125" s="187"/>
    </row>
    <row r="126" spans="1:9" s="33" customFormat="1">
      <c r="A126" s="641" t="s">
        <v>290</v>
      </c>
      <c r="B126" s="642"/>
      <c r="C126" s="642"/>
      <c r="D126" s="642"/>
      <c r="E126" s="642"/>
      <c r="F126" s="642"/>
      <c r="G126" s="642"/>
      <c r="H126" s="643"/>
      <c r="I126" s="187"/>
    </row>
    <row r="127" spans="1:9" s="33" customFormat="1">
      <c r="A127" s="211" t="s">
        <v>101</v>
      </c>
      <c r="B127" s="191" t="s">
        <v>102</v>
      </c>
      <c r="C127" s="188" t="s">
        <v>61</v>
      </c>
      <c r="D127" s="188"/>
      <c r="E127" s="188"/>
      <c r="F127" s="188"/>
      <c r="G127" s="191" t="s">
        <v>113</v>
      </c>
      <c r="H127" s="212" t="s">
        <v>107</v>
      </c>
      <c r="I127" s="187"/>
    </row>
    <row r="128" spans="1:9" s="33" customFormat="1">
      <c r="A128" s="215" t="s">
        <v>360</v>
      </c>
      <c r="B128" s="191" t="s">
        <v>79</v>
      </c>
      <c r="C128" s="200">
        <v>1</v>
      </c>
      <c r="D128" s="188"/>
      <c r="E128" s="188"/>
      <c r="F128" s="188"/>
      <c r="G128" s="198">
        <v>5764</v>
      </c>
      <c r="H128" s="214">
        <f t="shared" ref="H128:H131" si="2">C128*G128</f>
        <v>5764</v>
      </c>
      <c r="I128" s="232" t="s">
        <v>362</v>
      </c>
    </row>
    <row r="129" spans="1:10" s="33" customFormat="1">
      <c r="A129" s="215" t="s">
        <v>476</v>
      </c>
      <c r="B129" s="191" t="s">
        <v>79</v>
      </c>
      <c r="C129" s="200">
        <v>1</v>
      </c>
      <c r="D129" s="188"/>
      <c r="E129" s="188"/>
      <c r="F129" s="188"/>
      <c r="G129" s="198">
        <v>1393.92</v>
      </c>
      <c r="H129" s="214">
        <f t="shared" si="2"/>
        <v>1393.92</v>
      </c>
      <c r="I129" s="232" t="s">
        <v>362</v>
      </c>
      <c r="J129"/>
    </row>
    <row r="130" spans="1:10" s="33" customFormat="1">
      <c r="A130" s="215" t="s">
        <v>477</v>
      </c>
      <c r="B130" s="191" t="s">
        <v>79</v>
      </c>
      <c r="C130" s="200">
        <v>1</v>
      </c>
      <c r="D130" s="188"/>
      <c r="E130" s="188"/>
      <c r="F130" s="188"/>
      <c r="G130" s="198">
        <v>881.76</v>
      </c>
      <c r="H130" s="214">
        <f t="shared" si="2"/>
        <v>881.76</v>
      </c>
      <c r="I130" s="232" t="s">
        <v>362</v>
      </c>
      <c r="J130"/>
    </row>
    <row r="131" spans="1:10" s="33" customFormat="1">
      <c r="A131" s="215" t="s">
        <v>478</v>
      </c>
      <c r="B131" s="191" t="s">
        <v>79</v>
      </c>
      <c r="C131" s="200">
        <v>4</v>
      </c>
      <c r="D131" s="188"/>
      <c r="E131" s="188"/>
      <c r="F131" s="188"/>
      <c r="G131" s="198">
        <v>881.76</v>
      </c>
      <c r="H131" s="214">
        <f t="shared" si="2"/>
        <v>3527.04</v>
      </c>
      <c r="I131" s="232" t="s">
        <v>362</v>
      </c>
    </row>
    <row r="132" spans="1:10" s="33" customFormat="1">
      <c r="A132" s="639" t="s">
        <v>111</v>
      </c>
      <c r="B132" s="640"/>
      <c r="C132" s="640"/>
      <c r="D132" s="640"/>
      <c r="E132" s="640"/>
      <c r="F132" s="640"/>
      <c r="G132" s="640"/>
      <c r="H132" s="205">
        <f>SUM(H128:H131)</f>
        <v>11566.720000000001</v>
      </c>
      <c r="I132" s="187"/>
    </row>
    <row r="133" spans="1:10" s="33" customFormat="1">
      <c r="A133" s="571" t="s">
        <v>361</v>
      </c>
      <c r="B133" s="572"/>
      <c r="C133" s="572"/>
      <c r="D133" s="572"/>
      <c r="E133" s="572"/>
      <c r="F133" s="573"/>
      <c r="G133" s="235">
        <f>'Enc. Soc.'!D40</f>
        <v>74.59</v>
      </c>
      <c r="H133" s="205">
        <f>ROUND((H132*G133%),2)</f>
        <v>8627.6200000000008</v>
      </c>
      <c r="I133" s="187"/>
    </row>
    <row r="134" spans="1:10" s="33" customFormat="1">
      <c r="A134" s="216" t="s">
        <v>116</v>
      </c>
      <c r="B134" s="199">
        <v>1</v>
      </c>
      <c r="C134" s="640" t="s">
        <v>117</v>
      </c>
      <c r="D134" s="640"/>
      <c r="E134" s="640"/>
      <c r="F134" s="640"/>
      <c r="G134" s="640"/>
      <c r="H134" s="205">
        <f>H132+H125+H119+H133</f>
        <v>22657.130333333334</v>
      </c>
      <c r="I134" s="187"/>
    </row>
    <row r="135" spans="1:10" s="33" customFormat="1">
      <c r="A135" s="649" t="s">
        <v>323</v>
      </c>
      <c r="B135" s="650"/>
      <c r="C135" s="650"/>
      <c r="D135" s="650"/>
      <c r="E135" s="650"/>
      <c r="F135" s="650"/>
      <c r="G135" s="650"/>
      <c r="H135" s="217">
        <f>H134/B134</f>
        <v>22657.130333333334</v>
      </c>
      <c r="I135" s="187"/>
    </row>
    <row r="136" spans="1:10" s="33" customFormat="1">
      <c r="A136" s="218" t="s">
        <v>118</v>
      </c>
      <c r="B136" s="201">
        <f>'BDI - SERVIÇOS'!$D$27/100</f>
        <v>0.255</v>
      </c>
      <c r="C136" s="646"/>
      <c r="D136" s="647"/>
      <c r="E136" s="647"/>
      <c r="F136" s="647"/>
      <c r="G136" s="648"/>
      <c r="H136" s="217">
        <f>ROUND((H135*B136),2)</f>
        <v>5777.57</v>
      </c>
      <c r="I136" s="187"/>
    </row>
    <row r="137" spans="1:10" s="33" customFormat="1" ht="13.5" thickBot="1">
      <c r="A137" s="644" t="s">
        <v>120</v>
      </c>
      <c r="B137" s="645"/>
      <c r="C137" s="645"/>
      <c r="D137" s="645"/>
      <c r="E137" s="645"/>
      <c r="F137" s="645"/>
      <c r="G137" s="645"/>
      <c r="H137" s="219">
        <f>H135+H136</f>
        <v>28434.700333333334</v>
      </c>
      <c r="I137" s="187"/>
    </row>
    <row r="138" spans="1:10" ht="15.75" customHeight="1">
      <c r="A138" s="203" t="s">
        <v>97</v>
      </c>
      <c r="B138" s="228" t="s">
        <v>78</v>
      </c>
      <c r="C138" s="600" t="s">
        <v>98</v>
      </c>
      <c r="D138" s="600"/>
      <c r="E138" s="600"/>
      <c r="F138" s="600"/>
      <c r="G138" s="600"/>
      <c r="H138" s="601"/>
      <c r="I138" s="186"/>
      <c r="J138" s="24">
        <v>1.3</v>
      </c>
    </row>
    <row r="139" spans="1:10" ht="12.75" customHeight="1">
      <c r="A139" s="560" t="s">
        <v>336</v>
      </c>
      <c r="B139" s="561"/>
      <c r="C139" s="561"/>
      <c r="D139" s="561"/>
      <c r="E139" s="561"/>
      <c r="F139" s="561"/>
      <c r="G139" s="562" t="s">
        <v>335</v>
      </c>
      <c r="H139" s="563"/>
    </row>
    <row r="140" spans="1:10" ht="12.95" customHeight="1">
      <c r="A140" s="615" t="s">
        <v>365</v>
      </c>
      <c r="B140" s="616"/>
      <c r="C140" s="616"/>
      <c r="D140" s="616"/>
      <c r="E140" s="616"/>
      <c r="F140" s="616"/>
      <c r="G140" s="25" t="s">
        <v>99</v>
      </c>
      <c r="H140" s="105" t="s">
        <v>76</v>
      </c>
    </row>
    <row r="141" spans="1:10">
      <c r="A141" s="566" t="s">
        <v>100</v>
      </c>
      <c r="B141" s="567"/>
      <c r="C141" s="567"/>
      <c r="D141" s="567"/>
      <c r="E141" s="567"/>
      <c r="F141" s="567"/>
      <c r="G141" s="567"/>
      <c r="H141" s="568"/>
    </row>
    <row r="142" spans="1:10">
      <c r="A142" s="106" t="s">
        <v>101</v>
      </c>
      <c r="B142" s="26" t="s">
        <v>102</v>
      </c>
      <c r="C142" s="27" t="s">
        <v>61</v>
      </c>
      <c r="D142" s="28" t="s">
        <v>103</v>
      </c>
      <c r="E142" s="28" t="s">
        <v>104</v>
      </c>
      <c r="F142" s="29" t="s">
        <v>105</v>
      </c>
      <c r="G142" s="29" t="s">
        <v>106</v>
      </c>
      <c r="H142" s="107" t="s">
        <v>107</v>
      </c>
    </row>
    <row r="143" spans="1:10">
      <c r="A143" s="108" t="s">
        <v>109</v>
      </c>
      <c r="B143" s="30" t="s">
        <v>108</v>
      </c>
      <c r="C143" s="31">
        <f>8*3</f>
        <v>24</v>
      </c>
      <c r="D143" s="32">
        <v>1</v>
      </c>
      <c r="E143" s="28"/>
      <c r="F143" s="29">
        <f>'INSUMOS - SINAPI'!C18</f>
        <v>71.61</v>
      </c>
      <c r="G143" s="29"/>
      <c r="H143" s="109">
        <f>C143*D143*F143+C143*E143*G143</f>
        <v>1718.6399999999999</v>
      </c>
      <c r="I143" s="202" t="s">
        <v>49</v>
      </c>
    </row>
    <row r="144" spans="1:10">
      <c r="A144" s="108" t="s">
        <v>110</v>
      </c>
      <c r="B144" s="30" t="s">
        <v>108</v>
      </c>
      <c r="C144" s="31">
        <f>5*8</f>
        <v>40</v>
      </c>
      <c r="D144" s="32">
        <v>1</v>
      </c>
      <c r="E144" s="28"/>
      <c r="F144" s="29">
        <f>'INSUMOS - SINAPI'!C19</f>
        <v>26</v>
      </c>
      <c r="G144" s="29"/>
      <c r="H144" s="109">
        <f>C144*D144*F144+C144*E144*G144</f>
        <v>1040</v>
      </c>
      <c r="I144" s="202" t="s">
        <v>324</v>
      </c>
    </row>
    <row r="145" spans="1:9">
      <c r="A145" s="116"/>
      <c r="B145" s="85"/>
      <c r="C145" s="85"/>
      <c r="D145" s="85"/>
      <c r="E145" s="85"/>
      <c r="F145" s="85"/>
      <c r="G145" s="85"/>
      <c r="H145" s="204"/>
    </row>
    <row r="146" spans="1:9">
      <c r="A146" s="569" t="s">
        <v>111</v>
      </c>
      <c r="B146" s="570"/>
      <c r="C146" s="570"/>
      <c r="D146" s="570"/>
      <c r="E146" s="570"/>
      <c r="F146" s="570"/>
      <c r="G146" s="617"/>
      <c r="H146" s="205">
        <f>SUM(H143:H144)</f>
        <v>2758.64</v>
      </c>
    </row>
    <row r="147" spans="1:9">
      <c r="A147" s="612" t="s">
        <v>115</v>
      </c>
      <c r="B147" s="613"/>
      <c r="C147" s="613"/>
      <c r="D147" s="613"/>
      <c r="E147" s="613"/>
      <c r="F147" s="613"/>
      <c r="G147" s="613"/>
      <c r="H147" s="614"/>
      <c r="I147" s="443"/>
    </row>
    <row r="148" spans="1:9">
      <c r="A148" s="469" t="s">
        <v>101</v>
      </c>
      <c r="B148" s="470" t="s">
        <v>102</v>
      </c>
      <c r="C148" s="471" t="s">
        <v>61</v>
      </c>
      <c r="D148" s="471"/>
      <c r="E148" s="471"/>
      <c r="F148" s="471"/>
      <c r="G148" s="470" t="s">
        <v>113</v>
      </c>
      <c r="H148" s="462" t="s">
        <v>107</v>
      </c>
      <c r="I148" s="444"/>
    </row>
    <row r="149" spans="1:9">
      <c r="A149" s="472" t="s">
        <v>198</v>
      </c>
      <c r="B149" s="470" t="s">
        <v>108</v>
      </c>
      <c r="C149" s="473">
        <v>40</v>
      </c>
      <c r="D149" s="474"/>
      <c r="E149" s="475"/>
      <c r="F149" s="475"/>
      <c r="G149" s="476">
        <f>'INSUMOS - SINAPI'!$C$58</f>
        <v>3.42</v>
      </c>
      <c r="H149" s="477">
        <f>ROUND((C149*G149),2)</f>
        <v>136.80000000000001</v>
      </c>
      <c r="I149" s="441" t="s">
        <v>357</v>
      </c>
    </row>
    <row r="150" spans="1:9">
      <c r="A150" s="611" t="s">
        <v>111</v>
      </c>
      <c r="B150" s="591"/>
      <c r="C150" s="591"/>
      <c r="D150" s="591"/>
      <c r="E150" s="591"/>
      <c r="F150" s="591"/>
      <c r="G150" s="591"/>
      <c r="H150" s="478">
        <f>SUM(H149:H149)</f>
        <v>136.80000000000001</v>
      </c>
      <c r="I150" s="33"/>
    </row>
    <row r="151" spans="1:9">
      <c r="A151" s="571" t="s">
        <v>361</v>
      </c>
      <c r="B151" s="572"/>
      <c r="C151" s="572"/>
      <c r="D151" s="572"/>
      <c r="E151" s="572"/>
      <c r="F151" s="573"/>
      <c r="G151" s="235">
        <f>'Enc. Soc.'!$C$40</f>
        <v>120.75</v>
      </c>
      <c r="H151" s="205">
        <f>ROUND((H150*G151%),2)</f>
        <v>165.19</v>
      </c>
      <c r="I151" s="33"/>
    </row>
    <row r="152" spans="1:9">
      <c r="A152" s="113" t="s">
        <v>116</v>
      </c>
      <c r="B152" s="36">
        <v>1</v>
      </c>
      <c r="C152" s="570" t="s">
        <v>117</v>
      </c>
      <c r="D152" s="570"/>
      <c r="E152" s="570"/>
      <c r="F152" s="570"/>
      <c r="G152" s="570"/>
      <c r="H152" s="110">
        <f>H146+H150+H151</f>
        <v>3060.63</v>
      </c>
    </row>
    <row r="153" spans="1:9">
      <c r="A153" s="582" t="s">
        <v>323</v>
      </c>
      <c r="B153" s="583"/>
      <c r="C153" s="583"/>
      <c r="D153" s="583"/>
      <c r="E153" s="583"/>
      <c r="F153" s="583"/>
      <c r="G153" s="584"/>
      <c r="H153" s="114">
        <f>H152/B152</f>
        <v>3060.63</v>
      </c>
    </row>
    <row r="154" spans="1:9">
      <c r="A154" s="115" t="s">
        <v>118</v>
      </c>
      <c r="B154" s="154">
        <f>'BDI - SERVIÇOS'!$D$27/100</f>
        <v>0.255</v>
      </c>
      <c r="C154" s="38"/>
      <c r="D154" s="38"/>
      <c r="E154" s="38"/>
      <c r="F154" s="38"/>
      <c r="G154" s="39"/>
      <c r="H154" s="114">
        <f>ROUND((H153*B154),2)</f>
        <v>780.46</v>
      </c>
    </row>
    <row r="155" spans="1:9" ht="13.5" thickBot="1">
      <c r="A155" s="653" t="s">
        <v>120</v>
      </c>
      <c r="B155" s="654"/>
      <c r="C155" s="654"/>
      <c r="D155" s="654"/>
      <c r="E155" s="654"/>
      <c r="F155" s="654"/>
      <c r="G155" s="654"/>
      <c r="H155" s="356">
        <f>H153+H154</f>
        <v>3841.09</v>
      </c>
    </row>
    <row r="156" spans="1:9" s="33" customFormat="1" ht="15.75">
      <c r="A156" s="130" t="s">
        <v>97</v>
      </c>
      <c r="B156" s="236" t="s">
        <v>85</v>
      </c>
      <c r="C156" s="631" t="s">
        <v>98</v>
      </c>
      <c r="D156" s="631"/>
      <c r="E156" s="631"/>
      <c r="F156" s="631"/>
      <c r="G156" s="631"/>
      <c r="H156" s="632"/>
      <c r="I156" s="187"/>
    </row>
    <row r="157" spans="1:9" s="33" customFormat="1">
      <c r="A157" s="633" t="s">
        <v>336</v>
      </c>
      <c r="B157" s="634"/>
      <c r="C157" s="634"/>
      <c r="D157" s="634"/>
      <c r="E157" s="634"/>
      <c r="F157" s="634"/>
      <c r="G157" s="562" t="s">
        <v>335</v>
      </c>
      <c r="H157" s="563"/>
      <c r="I157" s="187"/>
    </row>
    <row r="158" spans="1:9" s="33" customFormat="1" ht="25.5" customHeight="1">
      <c r="A158" s="635" t="s">
        <v>366</v>
      </c>
      <c r="B158" s="636"/>
      <c r="C158" s="636"/>
      <c r="D158" s="636"/>
      <c r="E158" s="636"/>
      <c r="F158" s="636"/>
      <c r="G158" s="61" t="s">
        <v>99</v>
      </c>
      <c r="H158" s="105" t="s">
        <v>76</v>
      </c>
      <c r="I158" s="187"/>
    </row>
    <row r="159" spans="1:9" s="33" customFormat="1">
      <c r="A159" s="579" t="s">
        <v>100</v>
      </c>
      <c r="B159" s="580"/>
      <c r="C159" s="580"/>
      <c r="D159" s="580"/>
      <c r="E159" s="580"/>
      <c r="F159" s="580"/>
      <c r="G159" s="580"/>
      <c r="H159" s="581"/>
    </row>
    <row r="160" spans="1:9" s="33" customFormat="1">
      <c r="A160" s="127" t="s">
        <v>101</v>
      </c>
      <c r="B160" s="47" t="s">
        <v>102</v>
      </c>
      <c r="C160" s="48" t="s">
        <v>61</v>
      </c>
      <c r="D160" s="45" t="s">
        <v>103</v>
      </c>
      <c r="E160" s="45" t="s">
        <v>104</v>
      </c>
      <c r="F160" s="46" t="s">
        <v>105</v>
      </c>
      <c r="G160" s="46" t="s">
        <v>106</v>
      </c>
      <c r="H160" s="128" t="s">
        <v>107</v>
      </c>
    </row>
    <row r="161" spans="1:9" s="33" customFormat="1" ht="14.25">
      <c r="A161" s="213" t="s">
        <v>367</v>
      </c>
      <c r="B161" s="191" t="s">
        <v>108</v>
      </c>
      <c r="C161" s="195">
        <f>ROUND((20/60),4)</f>
        <v>0.33329999999999999</v>
      </c>
      <c r="D161" s="195">
        <v>1</v>
      </c>
      <c r="E161" s="192"/>
      <c r="F161" s="198">
        <f>veículos!D59</f>
        <v>12.18</v>
      </c>
      <c r="G161" s="193">
        <v>0</v>
      </c>
      <c r="H161" s="214">
        <f>C161*D161*F161+C161*E161*G161</f>
        <v>4.0595939999999997</v>
      </c>
      <c r="I161" s="354"/>
    </row>
    <row r="162" spans="1:9" s="33" customFormat="1">
      <c r="A162" s="623" t="s">
        <v>111</v>
      </c>
      <c r="B162" s="624"/>
      <c r="C162" s="624"/>
      <c r="D162" s="624"/>
      <c r="E162" s="624"/>
      <c r="F162" s="624"/>
      <c r="G162" s="624"/>
      <c r="H162" s="214">
        <f>SUM(H161:H161)</f>
        <v>4.0595939999999997</v>
      </c>
      <c r="I162" s="187"/>
    </row>
    <row r="163" spans="1:9" s="33" customFormat="1">
      <c r="A163" s="579" t="s">
        <v>112</v>
      </c>
      <c r="B163" s="580"/>
      <c r="C163" s="580"/>
      <c r="D163" s="580"/>
      <c r="E163" s="580"/>
      <c r="F163" s="580"/>
      <c r="G163" s="580"/>
      <c r="H163" s="581"/>
      <c r="I163" s="187"/>
    </row>
    <row r="164" spans="1:9" s="33" customFormat="1">
      <c r="A164" s="127" t="s">
        <v>101</v>
      </c>
      <c r="B164" s="47" t="s">
        <v>102</v>
      </c>
      <c r="C164" s="48" t="s">
        <v>61</v>
      </c>
      <c r="D164" s="48"/>
      <c r="E164" s="48"/>
      <c r="F164" s="48"/>
      <c r="G164" s="47" t="s">
        <v>113</v>
      </c>
      <c r="H164" s="128" t="s">
        <v>107</v>
      </c>
      <c r="I164" s="187"/>
    </row>
    <row r="165" spans="1:9" s="33" customFormat="1" ht="25.5">
      <c r="A165" s="131" t="s">
        <v>369</v>
      </c>
      <c r="B165" s="41" t="s">
        <v>30</v>
      </c>
      <c r="C165" s="43">
        <f>4/'Memória de quantitativos'!D9</f>
        <v>2.103049421661409E-3</v>
      </c>
      <c r="D165" s="48"/>
      <c r="E165" s="48"/>
      <c r="F165" s="48"/>
      <c r="G165" s="60">
        <f>'INSUMOS - SINAPI'!C46</f>
        <v>62.57</v>
      </c>
      <c r="H165" s="132">
        <f>C165*G165</f>
        <v>0.13158780231335437</v>
      </c>
      <c r="I165" s="232" t="s">
        <v>371</v>
      </c>
    </row>
    <row r="166" spans="1:9" s="33" customFormat="1">
      <c r="A166" s="623" t="s">
        <v>111</v>
      </c>
      <c r="B166" s="624"/>
      <c r="C166" s="624"/>
      <c r="D166" s="624"/>
      <c r="E166" s="624"/>
      <c r="F166" s="624"/>
      <c r="G166" s="624"/>
      <c r="H166" s="136">
        <f>SUM(H165:H165)</f>
        <v>0.13158780231335437</v>
      </c>
      <c r="I166" s="187"/>
    </row>
    <row r="167" spans="1:9" s="33" customFormat="1">
      <c r="A167" s="579" t="s">
        <v>115</v>
      </c>
      <c r="B167" s="580"/>
      <c r="C167" s="580"/>
      <c r="D167" s="580"/>
      <c r="E167" s="580"/>
      <c r="F167" s="580"/>
      <c r="G167" s="580"/>
      <c r="H167" s="581"/>
      <c r="I167" s="187"/>
    </row>
    <row r="168" spans="1:9" s="33" customFormat="1">
      <c r="A168" s="127" t="s">
        <v>101</v>
      </c>
      <c r="B168" s="47" t="s">
        <v>102</v>
      </c>
      <c r="C168" s="48" t="s">
        <v>61</v>
      </c>
      <c r="D168" s="48"/>
      <c r="E168" s="48"/>
      <c r="F168" s="48"/>
      <c r="G168" s="47" t="s">
        <v>113</v>
      </c>
      <c r="H168" s="128" t="s">
        <v>107</v>
      </c>
      <c r="I168" s="187"/>
    </row>
    <row r="169" spans="1:9" s="33" customFormat="1">
      <c r="A169" s="120" t="s">
        <v>372</v>
      </c>
      <c r="B169" s="47" t="s">
        <v>108</v>
      </c>
      <c r="C169" s="195">
        <f>ROUND((20/60),4)</f>
        <v>0.33329999999999999</v>
      </c>
      <c r="D169" s="48"/>
      <c r="E169" s="48"/>
      <c r="F169" s="48"/>
      <c r="G169" s="47">
        <f>'INSUMOS - SINAPI'!C29</f>
        <v>9.94</v>
      </c>
      <c r="H169" s="132">
        <f>ROUND((C169*G169),2)</f>
        <v>3.31</v>
      </c>
      <c r="I169" s="232" t="s">
        <v>44</v>
      </c>
    </row>
    <row r="170" spans="1:9" s="33" customFormat="1" ht="14.25">
      <c r="A170" s="120" t="s">
        <v>373</v>
      </c>
      <c r="B170" s="47" t="s">
        <v>108</v>
      </c>
      <c r="C170" s="195">
        <f>ROUND((20/60),4)</f>
        <v>0.33329999999999999</v>
      </c>
      <c r="D170" s="48"/>
      <c r="E170" s="48"/>
      <c r="F170" s="48"/>
      <c r="G170" s="60">
        <f>'INSUMOS - SINAPI'!C6</f>
        <v>3.42</v>
      </c>
      <c r="H170" s="132">
        <f>ROUND((C170*G170),2)</f>
        <v>1.1399999999999999</v>
      </c>
      <c r="I170" s="355" t="s">
        <v>374</v>
      </c>
    </row>
    <row r="171" spans="1:9" s="33" customFormat="1">
      <c r="A171" s="623" t="s">
        <v>111</v>
      </c>
      <c r="B171" s="624"/>
      <c r="C171" s="624"/>
      <c r="D171" s="624"/>
      <c r="E171" s="624"/>
      <c r="F171" s="624"/>
      <c r="G171" s="624"/>
      <c r="H171" s="137">
        <f>SUM(H169:H170)</f>
        <v>4.45</v>
      </c>
      <c r="I171" s="187"/>
    </row>
    <row r="172" spans="1:9" s="33" customFormat="1">
      <c r="A172" s="571" t="s">
        <v>361</v>
      </c>
      <c r="B172" s="572"/>
      <c r="C172" s="572"/>
      <c r="D172" s="572"/>
      <c r="E172" s="572"/>
      <c r="F172" s="573"/>
      <c r="G172" s="235">
        <f>'Enc. Soc.'!$C$40</f>
        <v>120.75</v>
      </c>
      <c r="H172" s="205">
        <f>ROUND((H171*G172%),2)</f>
        <v>5.37</v>
      </c>
      <c r="I172" s="187"/>
    </row>
    <row r="173" spans="1:9" s="33" customFormat="1" ht="13.5" thickBot="1">
      <c r="A173" s="129" t="s">
        <v>116</v>
      </c>
      <c r="B173" s="62">
        <v>1</v>
      </c>
      <c r="C173" s="624" t="s">
        <v>117</v>
      </c>
      <c r="D173" s="624"/>
      <c r="E173" s="624"/>
      <c r="F173" s="624"/>
      <c r="G173" s="624"/>
      <c r="H173" s="356">
        <f>H171+H166+H162+H172</f>
        <v>14.011181802313356</v>
      </c>
      <c r="I173" s="187"/>
    </row>
    <row r="174" spans="1:9" s="33" customFormat="1" ht="13.5" thickBot="1">
      <c r="A174" s="582" t="s">
        <v>323</v>
      </c>
      <c r="B174" s="583"/>
      <c r="C174" s="583"/>
      <c r="D174" s="583"/>
      <c r="E174" s="583"/>
      <c r="F174" s="583"/>
      <c r="G174" s="584"/>
      <c r="H174" s="356">
        <f>ROUND((H173/B173),2)</f>
        <v>14.01</v>
      </c>
      <c r="I174" s="187"/>
    </row>
    <row r="175" spans="1:9" s="33" customFormat="1">
      <c r="A175" s="115" t="s">
        <v>118</v>
      </c>
      <c r="B175" s="154">
        <f>'BDI - SERVIÇOS'!$D$27/100</f>
        <v>0.255</v>
      </c>
      <c r="C175" s="38"/>
      <c r="D175" s="38"/>
      <c r="E175" s="38"/>
      <c r="F175" s="38"/>
      <c r="G175" s="39"/>
      <c r="H175" s="114">
        <f>ROUND((H174*B175),2)</f>
        <v>3.57</v>
      </c>
      <c r="I175" s="187"/>
    </row>
    <row r="176" spans="1:9" s="33" customFormat="1" ht="13.5" thickBot="1">
      <c r="A176" s="625" t="s">
        <v>120</v>
      </c>
      <c r="B176" s="626"/>
      <c r="C176" s="626"/>
      <c r="D176" s="626"/>
      <c r="E176" s="626"/>
      <c r="F176" s="626"/>
      <c r="G176" s="627"/>
      <c r="H176" s="356">
        <f>H174+H175</f>
        <v>17.579999999999998</v>
      </c>
      <c r="I176" s="187"/>
    </row>
    <row r="177" spans="1:9" s="33" customFormat="1" ht="13.5" customHeight="1">
      <c r="A177" s="117" t="s">
        <v>97</v>
      </c>
      <c r="B177" s="231" t="s">
        <v>86</v>
      </c>
      <c r="C177" s="585" t="s">
        <v>98</v>
      </c>
      <c r="D177" s="585"/>
      <c r="E177" s="585"/>
      <c r="F177" s="585"/>
      <c r="G177" s="585"/>
      <c r="H177" s="586"/>
      <c r="I177" s="187"/>
    </row>
    <row r="178" spans="1:9" s="33" customFormat="1">
      <c r="A178" s="560" t="s">
        <v>336</v>
      </c>
      <c r="B178" s="561"/>
      <c r="C178" s="561"/>
      <c r="D178" s="561"/>
      <c r="E178" s="561"/>
      <c r="F178" s="561"/>
      <c r="G178" s="562" t="s">
        <v>335</v>
      </c>
      <c r="H178" s="563"/>
      <c r="I178" s="187"/>
    </row>
    <row r="179" spans="1:9" s="33" customFormat="1" ht="27.75" customHeight="1">
      <c r="A179" s="637" t="s">
        <v>435</v>
      </c>
      <c r="B179" s="638"/>
      <c r="C179" s="638"/>
      <c r="D179" s="638"/>
      <c r="E179" s="638"/>
      <c r="F179" s="638"/>
      <c r="G179" s="40" t="s">
        <v>99</v>
      </c>
      <c r="H179" s="105" t="s">
        <v>76</v>
      </c>
      <c r="I179" s="187"/>
    </row>
    <row r="180" spans="1:9" s="33" customFormat="1">
      <c r="A180" s="579" t="s">
        <v>115</v>
      </c>
      <c r="B180" s="580"/>
      <c r="C180" s="580"/>
      <c r="D180" s="580"/>
      <c r="E180" s="580"/>
      <c r="F180" s="580"/>
      <c r="G180" s="580"/>
      <c r="H180" s="581"/>
      <c r="I180" s="187"/>
    </row>
    <row r="181" spans="1:9" s="33" customFormat="1">
      <c r="A181" s="118" t="s">
        <v>101</v>
      </c>
      <c r="B181" s="41" t="s">
        <v>102</v>
      </c>
      <c r="C181" s="42" t="s">
        <v>61</v>
      </c>
      <c r="D181" s="42"/>
      <c r="E181" s="42"/>
      <c r="F181" s="42"/>
      <c r="G181" s="41" t="s">
        <v>113</v>
      </c>
      <c r="H181" s="119" t="s">
        <v>107</v>
      </c>
    </row>
    <row r="182" spans="1:9" ht="15.6" customHeight="1">
      <c r="A182" s="124" t="s">
        <v>198</v>
      </c>
      <c r="B182" s="41" t="s">
        <v>108</v>
      </c>
      <c r="C182" s="59">
        <v>3</v>
      </c>
      <c r="D182" s="47"/>
      <c r="E182" s="48"/>
      <c r="F182" s="48"/>
      <c r="G182" s="52">
        <f>'INSUMOS - SINAPI'!C58</f>
        <v>3.42</v>
      </c>
      <c r="H182" s="132">
        <f>ROUND((C182*G182),2)</f>
        <v>10.26</v>
      </c>
      <c r="I182" s="202" t="s">
        <v>57</v>
      </c>
    </row>
    <row r="183" spans="1:9" ht="12.75" customHeight="1">
      <c r="A183" s="587" t="s">
        <v>111</v>
      </c>
      <c r="B183" s="588"/>
      <c r="C183" s="588"/>
      <c r="D183" s="588"/>
      <c r="E183" s="588"/>
      <c r="F183" s="588"/>
      <c r="G183" s="588"/>
      <c r="H183" s="133">
        <f>SUM(H182:H182)</f>
        <v>10.26</v>
      </c>
    </row>
    <row r="184" spans="1:9" ht="12.75" customHeight="1">
      <c r="A184" s="571" t="s">
        <v>361</v>
      </c>
      <c r="B184" s="572"/>
      <c r="C184" s="572"/>
      <c r="D184" s="572"/>
      <c r="E184" s="572"/>
      <c r="F184" s="573"/>
      <c r="G184" s="235">
        <f>'Enc. Soc.'!$C$40</f>
        <v>120.75</v>
      </c>
      <c r="H184" s="205">
        <f>ROUND((H183*G184%),2)</f>
        <v>12.39</v>
      </c>
    </row>
    <row r="185" spans="1:9" ht="12.95" customHeight="1">
      <c r="A185" s="123" t="s">
        <v>116</v>
      </c>
      <c r="B185" s="50">
        <v>1</v>
      </c>
      <c r="C185" s="588" t="s">
        <v>117</v>
      </c>
      <c r="D185" s="588"/>
      <c r="E185" s="588"/>
      <c r="F185" s="588"/>
      <c r="G185" s="588"/>
      <c r="H185" s="133">
        <f>H183+H184</f>
        <v>22.65</v>
      </c>
    </row>
    <row r="186" spans="1:9">
      <c r="A186" s="582" t="s">
        <v>323</v>
      </c>
      <c r="B186" s="583"/>
      <c r="C186" s="583"/>
      <c r="D186" s="583"/>
      <c r="E186" s="583"/>
      <c r="F186" s="583"/>
      <c r="G186" s="584"/>
      <c r="H186" s="134">
        <f>H185/B185</f>
        <v>22.65</v>
      </c>
    </row>
    <row r="187" spans="1:9">
      <c r="A187" s="115" t="s">
        <v>118</v>
      </c>
      <c r="B187" s="154">
        <f>'BDI - SERVIÇOS'!$D$27/100</f>
        <v>0.255</v>
      </c>
      <c r="C187" s="38"/>
      <c r="D187" s="38"/>
      <c r="E187" s="38"/>
      <c r="F187" s="38"/>
      <c r="G187" s="39"/>
      <c r="H187" s="114">
        <f>ROUND((H186*B187),2)</f>
        <v>5.78</v>
      </c>
    </row>
    <row r="188" spans="1:9">
      <c r="A188" s="625" t="s">
        <v>120</v>
      </c>
      <c r="B188" s="626"/>
      <c r="C188" s="626"/>
      <c r="D188" s="626"/>
      <c r="E188" s="626"/>
      <c r="F188" s="626"/>
      <c r="G188" s="627"/>
      <c r="H188" s="134">
        <f>H186+H187</f>
        <v>28.43</v>
      </c>
    </row>
    <row r="189" spans="1:9" ht="15.75">
      <c r="A189" s="117" t="s">
        <v>97</v>
      </c>
      <c r="B189" s="231" t="s">
        <v>88</v>
      </c>
      <c r="C189" s="585" t="s">
        <v>98</v>
      </c>
      <c r="D189" s="585"/>
      <c r="E189" s="585"/>
      <c r="F189" s="585"/>
      <c r="G189" s="585"/>
      <c r="H189" s="586"/>
    </row>
    <row r="190" spans="1:9">
      <c r="A190" s="560" t="s">
        <v>336</v>
      </c>
      <c r="B190" s="561"/>
      <c r="C190" s="561"/>
      <c r="D190" s="561"/>
      <c r="E190" s="561"/>
      <c r="F190" s="561"/>
      <c r="G190" s="562" t="s">
        <v>335</v>
      </c>
      <c r="H190" s="563"/>
    </row>
    <row r="191" spans="1:9" ht="27" customHeight="1">
      <c r="A191" s="637" t="s">
        <v>377</v>
      </c>
      <c r="B191" s="638"/>
      <c r="C191" s="638"/>
      <c r="D191" s="638"/>
      <c r="E191" s="638"/>
      <c r="F191" s="638"/>
      <c r="G191" s="40" t="s">
        <v>99</v>
      </c>
      <c r="H191" s="105" t="s">
        <v>76</v>
      </c>
    </row>
    <row r="192" spans="1:9">
      <c r="A192" s="579" t="s">
        <v>100</v>
      </c>
      <c r="B192" s="580"/>
      <c r="C192" s="580"/>
      <c r="D192" s="580"/>
      <c r="E192" s="580"/>
      <c r="F192" s="580"/>
      <c r="G192" s="580"/>
      <c r="H192" s="581"/>
    </row>
    <row r="193" spans="1:9">
      <c r="A193" s="125" t="s">
        <v>101</v>
      </c>
      <c r="B193" s="55" t="s">
        <v>102</v>
      </c>
      <c r="C193" s="56" t="s">
        <v>61</v>
      </c>
      <c r="D193" s="57" t="s">
        <v>103</v>
      </c>
      <c r="E193" s="57" t="s">
        <v>104</v>
      </c>
      <c r="F193" s="58" t="s">
        <v>105</v>
      </c>
      <c r="G193" s="58" t="s">
        <v>106</v>
      </c>
      <c r="H193" s="126" t="s">
        <v>107</v>
      </c>
    </row>
    <row r="194" spans="1:9">
      <c r="A194" s="108" t="s">
        <v>110</v>
      </c>
      <c r="B194" s="30" t="s">
        <v>108</v>
      </c>
      <c r="C194" s="31">
        <f>1/4</f>
        <v>0.25</v>
      </c>
      <c r="D194" s="32">
        <v>1</v>
      </c>
      <c r="E194" s="28"/>
      <c r="F194" s="29">
        <f>'INSUMOS - SINAPI'!C19</f>
        <v>26</v>
      </c>
      <c r="G194" s="29"/>
      <c r="H194" s="109">
        <f>C194*D194*F194+C194*E194*G194</f>
        <v>6.5</v>
      </c>
      <c r="I194" s="189" t="s">
        <v>324</v>
      </c>
    </row>
    <row r="195" spans="1:9">
      <c r="A195" s="587" t="s">
        <v>111</v>
      </c>
      <c r="B195" s="588"/>
      <c r="C195" s="588"/>
      <c r="D195" s="588"/>
      <c r="E195" s="588"/>
      <c r="F195" s="588"/>
      <c r="G195" s="588"/>
      <c r="H195" s="133">
        <f>SUM(H194:H194)</f>
        <v>6.5</v>
      </c>
    </row>
    <row r="196" spans="1:9">
      <c r="A196" s="579" t="s">
        <v>114</v>
      </c>
      <c r="B196" s="580"/>
      <c r="C196" s="580"/>
      <c r="D196" s="580"/>
      <c r="E196" s="580"/>
      <c r="F196" s="580"/>
      <c r="G196" s="580"/>
      <c r="H196" s="581"/>
    </row>
    <row r="197" spans="1:9">
      <c r="A197" s="121" t="s">
        <v>101</v>
      </c>
      <c r="B197" s="351" t="s">
        <v>102</v>
      </c>
      <c r="C197" s="351" t="s">
        <v>61</v>
      </c>
      <c r="D197" s="351"/>
      <c r="E197" s="351"/>
      <c r="F197" s="351"/>
      <c r="G197" s="49" t="s">
        <v>113</v>
      </c>
      <c r="H197" s="119" t="s">
        <v>107</v>
      </c>
    </row>
    <row r="198" spans="1:9" ht="38.25">
      <c r="A198" s="122" t="s">
        <v>359</v>
      </c>
      <c r="B198" s="44" t="s">
        <v>201</v>
      </c>
      <c r="C198" s="54">
        <v>1</v>
      </c>
      <c r="D198" s="351"/>
      <c r="E198" s="51"/>
      <c r="F198" s="51"/>
      <c r="G198" s="436">
        <f>$H$245</f>
        <v>3.18</v>
      </c>
      <c r="H198" s="135">
        <f>C198*G198</f>
        <v>3.18</v>
      </c>
    </row>
    <row r="199" spans="1:9">
      <c r="A199" s="587" t="s">
        <v>111</v>
      </c>
      <c r="B199" s="588"/>
      <c r="C199" s="588"/>
      <c r="D199" s="588"/>
      <c r="E199" s="588"/>
      <c r="F199" s="588"/>
      <c r="G199" s="588"/>
      <c r="H199" s="135">
        <f>SUM(H198:H198)</f>
        <v>3.18</v>
      </c>
    </row>
    <row r="200" spans="1:9">
      <c r="A200" s="579" t="s">
        <v>115</v>
      </c>
      <c r="B200" s="580"/>
      <c r="C200" s="580"/>
      <c r="D200" s="580"/>
      <c r="E200" s="580"/>
      <c r="F200" s="580"/>
      <c r="G200" s="580"/>
      <c r="H200" s="581"/>
    </row>
    <row r="201" spans="1:9">
      <c r="A201" s="118" t="s">
        <v>101</v>
      </c>
      <c r="B201" s="41" t="s">
        <v>102</v>
      </c>
      <c r="C201" s="42" t="s">
        <v>61</v>
      </c>
      <c r="D201" s="42"/>
      <c r="E201" s="42"/>
      <c r="F201" s="42"/>
      <c r="G201" s="41" t="s">
        <v>113</v>
      </c>
      <c r="H201" s="119" t="s">
        <v>107</v>
      </c>
    </row>
    <row r="202" spans="1:9">
      <c r="A202" s="124" t="s">
        <v>205</v>
      </c>
      <c r="B202" s="41" t="s">
        <v>108</v>
      </c>
      <c r="C202" s="53">
        <v>1</v>
      </c>
      <c r="D202" s="42"/>
      <c r="E202" s="42"/>
      <c r="F202" s="42"/>
      <c r="G202" s="52">
        <f>'INSUMOS - SINAPI'!C28</f>
        <v>4.55</v>
      </c>
      <c r="H202" s="132">
        <f>ROUND((C202*G202),2)</f>
        <v>4.55</v>
      </c>
      <c r="I202" s="189" t="s">
        <v>321</v>
      </c>
    </row>
    <row r="203" spans="1:9">
      <c r="A203" s="124" t="s">
        <v>378</v>
      </c>
      <c r="B203" s="41" t="s">
        <v>108</v>
      </c>
      <c r="C203" s="53">
        <v>1</v>
      </c>
      <c r="D203" s="42"/>
      <c r="E203" s="42"/>
      <c r="F203" s="42"/>
      <c r="G203" s="52">
        <f>'INSUMOS - SINAPI'!C6</f>
        <v>3.42</v>
      </c>
      <c r="H203" s="132">
        <f>ROUND((C203*G203),2)</f>
        <v>3.42</v>
      </c>
      <c r="I203" s="189" t="s">
        <v>58</v>
      </c>
    </row>
    <row r="204" spans="1:9">
      <c r="A204" s="124" t="s">
        <v>198</v>
      </c>
      <c r="B204" s="41" t="s">
        <v>108</v>
      </c>
      <c r="C204" s="53">
        <v>2</v>
      </c>
      <c r="D204" s="47"/>
      <c r="E204" s="48"/>
      <c r="F204" s="48"/>
      <c r="G204" s="52">
        <f>'INSUMOS - SINAPI'!C58</f>
        <v>3.42</v>
      </c>
      <c r="H204" s="132">
        <f>ROUND((C204*G204),2)</f>
        <v>6.84</v>
      </c>
      <c r="I204" s="189" t="s">
        <v>57</v>
      </c>
    </row>
    <row r="205" spans="1:9">
      <c r="A205" s="587" t="s">
        <v>111</v>
      </c>
      <c r="B205" s="588"/>
      <c r="C205" s="588"/>
      <c r="D205" s="588"/>
      <c r="E205" s="588"/>
      <c r="F205" s="588"/>
      <c r="G205" s="588"/>
      <c r="H205" s="133">
        <f>SUM(H202:H204)</f>
        <v>14.809999999999999</v>
      </c>
    </row>
    <row r="206" spans="1:9">
      <c r="A206" s="571" t="s">
        <v>361</v>
      </c>
      <c r="B206" s="572"/>
      <c r="C206" s="572"/>
      <c r="D206" s="572"/>
      <c r="E206" s="572"/>
      <c r="F206" s="573"/>
      <c r="G206" s="235">
        <f>'Enc. Soc.'!$C$40</f>
        <v>120.75</v>
      </c>
      <c r="H206" s="205">
        <f>ROUND((H205*G206%),2)</f>
        <v>17.88</v>
      </c>
    </row>
    <row r="207" spans="1:9">
      <c r="A207" s="123" t="s">
        <v>116</v>
      </c>
      <c r="B207" s="50">
        <v>1</v>
      </c>
      <c r="C207" s="588" t="s">
        <v>117</v>
      </c>
      <c r="D207" s="588"/>
      <c r="E207" s="588"/>
      <c r="F207" s="588"/>
      <c r="G207" s="588"/>
      <c r="H207" s="109">
        <f>H205+H199+H195+H206</f>
        <v>42.37</v>
      </c>
    </row>
    <row r="208" spans="1:9">
      <c r="A208" s="582" t="s">
        <v>323</v>
      </c>
      <c r="B208" s="583"/>
      <c r="C208" s="583"/>
      <c r="D208" s="583"/>
      <c r="E208" s="583"/>
      <c r="F208" s="583"/>
      <c r="G208" s="584"/>
      <c r="H208" s="109">
        <f>ROUND((H207/B207),2)</f>
        <v>42.37</v>
      </c>
    </row>
    <row r="209" spans="1:9">
      <c r="A209" s="115" t="s">
        <v>118</v>
      </c>
      <c r="B209" s="154">
        <f>'BDI - SERVIÇOS'!$D$27/100</f>
        <v>0.255</v>
      </c>
      <c r="C209" s="38"/>
      <c r="D209" s="38"/>
      <c r="E209" s="38"/>
      <c r="F209" s="38"/>
      <c r="G209" s="39"/>
      <c r="H209" s="109">
        <f>ROUND((H208*B209),2)</f>
        <v>10.8</v>
      </c>
    </row>
    <row r="210" spans="1:9">
      <c r="A210" s="625" t="s">
        <v>120</v>
      </c>
      <c r="B210" s="626"/>
      <c r="C210" s="626"/>
      <c r="D210" s="626"/>
      <c r="E210" s="626"/>
      <c r="F210" s="626"/>
      <c r="G210" s="627"/>
      <c r="H210" s="109">
        <f>H208+H209</f>
        <v>53.17</v>
      </c>
    </row>
    <row r="211" spans="1:9" ht="13.5">
      <c r="A211" s="357" t="s">
        <v>97</v>
      </c>
      <c r="B211" s="358" t="s">
        <v>380</v>
      </c>
      <c r="C211" s="651" t="s">
        <v>381</v>
      </c>
      <c r="D211" s="651"/>
      <c r="E211" s="651"/>
      <c r="F211" s="651"/>
      <c r="G211" s="651"/>
      <c r="H211" s="652"/>
      <c r="I211" s="33"/>
    </row>
    <row r="212" spans="1:9" ht="15.75" customHeight="1">
      <c r="A212" s="560" t="s">
        <v>336</v>
      </c>
      <c r="B212" s="561"/>
      <c r="C212" s="561"/>
      <c r="D212" s="561"/>
      <c r="E212" s="561"/>
      <c r="F212" s="561"/>
      <c r="G212" s="562" t="s">
        <v>335</v>
      </c>
      <c r="H212" s="563"/>
      <c r="I212" s="33"/>
    </row>
    <row r="213" spans="1:9" ht="15.75">
      <c r="A213" s="628" t="s">
        <v>396</v>
      </c>
      <c r="B213" s="629"/>
      <c r="C213" s="629"/>
      <c r="D213" s="629"/>
      <c r="E213" s="629"/>
      <c r="F213" s="629"/>
      <c r="G213" s="359" t="s">
        <v>382</v>
      </c>
      <c r="H213" s="360" t="s">
        <v>89</v>
      </c>
      <c r="I213" s="33"/>
    </row>
    <row r="214" spans="1:9">
      <c r="A214" s="548" t="s">
        <v>100</v>
      </c>
      <c r="B214" s="549"/>
      <c r="C214" s="549"/>
      <c r="D214" s="549"/>
      <c r="E214" s="549"/>
      <c r="F214" s="549"/>
      <c r="G214" s="549"/>
      <c r="H214" s="550"/>
      <c r="I214" s="33"/>
    </row>
    <row r="215" spans="1:9">
      <c r="A215" s="361" t="s">
        <v>92</v>
      </c>
      <c r="B215" s="362" t="s">
        <v>102</v>
      </c>
      <c r="C215" s="363" t="s">
        <v>61</v>
      </c>
      <c r="D215" s="364" t="s">
        <v>103</v>
      </c>
      <c r="E215" s="364" t="s">
        <v>104</v>
      </c>
      <c r="F215" s="365" t="s">
        <v>105</v>
      </c>
      <c r="G215" s="365" t="s">
        <v>106</v>
      </c>
      <c r="H215" s="366" t="s">
        <v>107</v>
      </c>
      <c r="I215" s="33"/>
    </row>
    <row r="216" spans="1:9" ht="25.5">
      <c r="A216" s="367" t="s">
        <v>383</v>
      </c>
      <c r="B216" s="368" t="s">
        <v>108</v>
      </c>
      <c r="C216" s="369">
        <v>0.65</v>
      </c>
      <c r="D216" s="370">
        <v>1</v>
      </c>
      <c r="E216" s="364">
        <v>0</v>
      </c>
      <c r="F216" s="365">
        <f>'INSUMOS - SINAPI'!C8</f>
        <v>4.05</v>
      </c>
      <c r="G216" s="365">
        <v>0</v>
      </c>
      <c r="H216" s="371">
        <f>C216*D216*F216+C216*E216*G216</f>
        <v>2.6324999999999998</v>
      </c>
      <c r="I216" s="189" t="s">
        <v>194</v>
      </c>
    </row>
    <row r="217" spans="1:9">
      <c r="A217" s="630" t="s">
        <v>111</v>
      </c>
      <c r="B217" s="553"/>
      <c r="C217" s="553"/>
      <c r="D217" s="553"/>
      <c r="E217" s="553"/>
      <c r="F217" s="553"/>
      <c r="G217" s="553"/>
      <c r="H217" s="372">
        <f>SUM(H216:H216)</f>
        <v>2.6324999999999998</v>
      </c>
      <c r="I217" s="33"/>
    </row>
    <row r="218" spans="1:9">
      <c r="A218" s="548" t="s">
        <v>112</v>
      </c>
      <c r="B218" s="549"/>
      <c r="C218" s="549"/>
      <c r="D218" s="549"/>
      <c r="E218" s="549"/>
      <c r="F218" s="549"/>
      <c r="G218" s="549"/>
      <c r="H218" s="550"/>
      <c r="I218" s="33"/>
    </row>
    <row r="219" spans="1:9">
      <c r="A219" s="361" t="s">
        <v>92</v>
      </c>
      <c r="B219" s="362" t="s">
        <v>102</v>
      </c>
      <c r="C219" s="363" t="s">
        <v>61</v>
      </c>
      <c r="D219" s="363"/>
      <c r="E219" s="363"/>
      <c r="F219" s="363"/>
      <c r="G219" s="362" t="s">
        <v>113</v>
      </c>
      <c r="H219" s="366" t="s">
        <v>107</v>
      </c>
      <c r="I219" s="33"/>
    </row>
    <row r="220" spans="1:9" ht="25.5">
      <c r="A220" s="373" t="s">
        <v>384</v>
      </c>
      <c r="B220" s="362" t="s">
        <v>89</v>
      </c>
      <c r="C220" s="365">
        <v>0.49</v>
      </c>
      <c r="D220" s="363"/>
      <c r="E220" s="363"/>
      <c r="F220" s="363"/>
      <c r="G220" s="252">
        <f>'INSUMOS - SINAPI'!C5</f>
        <v>70</v>
      </c>
      <c r="H220" s="371">
        <f>ROUND((C220*G220),2)</f>
        <v>34.299999999999997</v>
      </c>
      <c r="I220" s="189" t="s">
        <v>391</v>
      </c>
    </row>
    <row r="221" spans="1:9" ht="25.5">
      <c r="A221" s="373" t="s">
        <v>385</v>
      </c>
      <c r="B221" s="362" t="s">
        <v>89</v>
      </c>
      <c r="C221" s="365">
        <v>0.98</v>
      </c>
      <c r="D221" s="363"/>
      <c r="E221" s="363"/>
      <c r="F221" s="363"/>
      <c r="G221" s="252">
        <f>'INSUMOS - SINAPI'!C51</f>
        <v>65.8</v>
      </c>
      <c r="H221" s="371">
        <f>ROUND((C221*G221),2)</f>
        <v>64.48</v>
      </c>
      <c r="I221" s="189" t="s">
        <v>392</v>
      </c>
    </row>
    <row r="222" spans="1:9">
      <c r="A222" s="373" t="s">
        <v>386</v>
      </c>
      <c r="B222" s="362" t="s">
        <v>124</v>
      </c>
      <c r="C222" s="365">
        <v>150</v>
      </c>
      <c r="D222" s="363"/>
      <c r="E222" s="363"/>
      <c r="F222" s="363"/>
      <c r="G222" s="252">
        <f>'INSUMOS - SINAPI'!C23</f>
        <v>0.48</v>
      </c>
      <c r="H222" s="371">
        <f>ROUND((C222*G222),2)</f>
        <v>72</v>
      </c>
      <c r="I222" s="189" t="s">
        <v>315</v>
      </c>
    </row>
    <row r="223" spans="1:9">
      <c r="A223" s="630" t="s">
        <v>111</v>
      </c>
      <c r="B223" s="553"/>
      <c r="C223" s="553"/>
      <c r="D223" s="553"/>
      <c r="E223" s="553"/>
      <c r="F223" s="553"/>
      <c r="G223" s="553"/>
      <c r="H223" s="374">
        <f>SUM(H220:H222)</f>
        <v>170.78</v>
      </c>
      <c r="I223" s="33"/>
    </row>
    <row r="224" spans="1:9">
      <c r="A224" s="548" t="s">
        <v>115</v>
      </c>
      <c r="B224" s="549"/>
      <c r="C224" s="549"/>
      <c r="D224" s="549"/>
      <c r="E224" s="549"/>
      <c r="F224" s="549"/>
      <c r="G224" s="549"/>
      <c r="H224" s="550"/>
      <c r="I224" s="33"/>
    </row>
    <row r="225" spans="1:9">
      <c r="A225" s="361" t="s">
        <v>92</v>
      </c>
      <c r="B225" s="362" t="s">
        <v>102</v>
      </c>
      <c r="C225" s="363" t="s">
        <v>61</v>
      </c>
      <c r="D225" s="363"/>
      <c r="E225" s="363"/>
      <c r="F225" s="363"/>
      <c r="G225" s="362" t="s">
        <v>113</v>
      </c>
      <c r="H225" s="366" t="s">
        <v>107</v>
      </c>
      <c r="I225" s="33"/>
    </row>
    <row r="226" spans="1:9">
      <c r="A226" s="367" t="s">
        <v>198</v>
      </c>
      <c r="B226" s="375" t="s">
        <v>108</v>
      </c>
      <c r="C226" s="376">
        <v>6</v>
      </c>
      <c r="D226" s="377"/>
      <c r="E226" s="377"/>
      <c r="F226" s="377"/>
      <c r="G226" s="378">
        <f>'INSUMOS - SINAPI'!C58</f>
        <v>3.42</v>
      </c>
      <c r="H226" s="371">
        <f>ROUND((C226*G226),2)</f>
        <v>20.52</v>
      </c>
      <c r="I226" s="189" t="s">
        <v>57</v>
      </c>
    </row>
    <row r="227" spans="1:9">
      <c r="A227" s="661" t="s">
        <v>111</v>
      </c>
      <c r="B227" s="662"/>
      <c r="C227" s="662"/>
      <c r="D227" s="662"/>
      <c r="E227" s="662"/>
      <c r="F227" s="662"/>
      <c r="G227" s="662"/>
      <c r="H227" s="372">
        <f>H226</f>
        <v>20.52</v>
      </c>
      <c r="I227" s="33"/>
    </row>
    <row r="228" spans="1:9">
      <c r="A228" s="571" t="s">
        <v>361</v>
      </c>
      <c r="B228" s="666"/>
      <c r="C228" s="666"/>
      <c r="D228" s="666"/>
      <c r="E228" s="666"/>
      <c r="F228" s="667"/>
      <c r="G228" s="379">
        <f>'Enc. Soc.'!$C$40</f>
        <v>120.75</v>
      </c>
      <c r="H228" s="205">
        <f>ROUND((H227*G228%),2)</f>
        <v>24.78</v>
      </c>
      <c r="I228" s="33"/>
    </row>
    <row r="229" spans="1:9">
      <c r="A229" s="380"/>
      <c r="B229" s="381"/>
      <c r="C229" s="663" t="s">
        <v>387</v>
      </c>
      <c r="D229" s="663"/>
      <c r="E229" s="663"/>
      <c r="F229" s="663"/>
      <c r="G229" s="663"/>
      <c r="H229" s="372">
        <f>H227+H223+H217+H228</f>
        <v>218.71250000000001</v>
      </c>
      <c r="I229" s="33"/>
    </row>
    <row r="230" spans="1:9">
      <c r="A230" s="382" t="s">
        <v>116</v>
      </c>
      <c r="B230" s="383">
        <v>1</v>
      </c>
      <c r="C230" s="384"/>
      <c r="D230" s="384"/>
      <c r="E230" s="664" t="s">
        <v>323</v>
      </c>
      <c r="F230" s="664"/>
      <c r="G230" s="664"/>
      <c r="H230" s="385">
        <f>H229/B230</f>
        <v>218.71250000000001</v>
      </c>
      <c r="I230" s="33" t="s">
        <v>388</v>
      </c>
    </row>
    <row r="231" spans="1:9">
      <c r="A231" s="386" t="s">
        <v>228</v>
      </c>
      <c r="B231" s="387"/>
      <c r="C231" s="387">
        <v>0</v>
      </c>
      <c r="D231" s="388"/>
      <c r="E231" s="388"/>
      <c r="F231" s="388"/>
      <c r="G231" s="389"/>
      <c r="H231" s="390">
        <f>ROUND((H230*C231),2)</f>
        <v>0</v>
      </c>
      <c r="I231" s="33"/>
    </row>
    <row r="232" spans="1:9">
      <c r="A232" s="556" t="s">
        <v>120</v>
      </c>
      <c r="B232" s="665"/>
      <c r="C232" s="665"/>
      <c r="D232" s="665"/>
      <c r="E232" s="665"/>
      <c r="F232" s="665"/>
      <c r="G232" s="665"/>
      <c r="H232" s="385">
        <f>ROUND((H230+H231),2)</f>
        <v>218.71</v>
      </c>
      <c r="I232" s="33"/>
    </row>
    <row r="233" spans="1:9" ht="13.5">
      <c r="A233" s="391" t="s">
        <v>97</v>
      </c>
      <c r="B233" s="392" t="s">
        <v>393</v>
      </c>
      <c r="C233" s="668" t="s">
        <v>397</v>
      </c>
      <c r="D233" s="668"/>
      <c r="E233" s="668"/>
      <c r="F233" s="668"/>
      <c r="G233" s="668"/>
      <c r="H233" s="559"/>
    </row>
    <row r="234" spans="1:9" ht="12.75" customHeight="1">
      <c r="A234" s="560" t="s">
        <v>336</v>
      </c>
      <c r="B234" s="561"/>
      <c r="C234" s="561"/>
      <c r="D234" s="561"/>
      <c r="E234" s="561"/>
      <c r="F234" s="561"/>
      <c r="G234" s="562" t="s">
        <v>335</v>
      </c>
      <c r="H234" s="563"/>
    </row>
    <row r="235" spans="1:9">
      <c r="A235" s="564" t="s">
        <v>398</v>
      </c>
      <c r="B235" s="565"/>
      <c r="C235" s="565"/>
      <c r="D235" s="565"/>
      <c r="E235" s="565"/>
      <c r="F235" s="565"/>
      <c r="G235" s="238" t="s">
        <v>382</v>
      </c>
      <c r="H235" s="393" t="s">
        <v>201</v>
      </c>
    </row>
    <row r="236" spans="1:9">
      <c r="A236" s="548" t="s">
        <v>114</v>
      </c>
      <c r="B236" s="549"/>
      <c r="C236" s="549"/>
      <c r="D236" s="549"/>
      <c r="E236" s="549"/>
      <c r="F236" s="549"/>
      <c r="G236" s="549"/>
      <c r="H236" s="550"/>
    </row>
    <row r="237" spans="1:9">
      <c r="A237" s="394" t="s">
        <v>92</v>
      </c>
      <c r="B237" s="239" t="s">
        <v>102</v>
      </c>
      <c r="C237" s="240" t="s">
        <v>61</v>
      </c>
      <c r="D237" s="240"/>
      <c r="E237" s="240"/>
      <c r="F237" s="240"/>
      <c r="G237" s="239" t="s">
        <v>113</v>
      </c>
      <c r="H237" s="395" t="s">
        <v>107</v>
      </c>
    </row>
    <row r="238" spans="1:9" ht="29.25" customHeight="1">
      <c r="A238" s="122" t="s">
        <v>399</v>
      </c>
      <c r="B238" s="239" t="s">
        <v>108</v>
      </c>
      <c r="C238" s="240">
        <v>1</v>
      </c>
      <c r="D238" s="240"/>
      <c r="E238" s="240"/>
      <c r="F238" s="240"/>
      <c r="G238" s="252">
        <f>H257</f>
        <v>2.2799999999999998</v>
      </c>
      <c r="H238" s="371">
        <f>ROUND((C238*G238),2)</f>
        <v>2.2799999999999998</v>
      </c>
    </row>
    <row r="239" spans="1:9" ht="25.5">
      <c r="A239" s="122" t="s">
        <v>400</v>
      </c>
      <c r="B239" s="239" t="s">
        <v>108</v>
      </c>
      <c r="C239" s="240">
        <v>1</v>
      </c>
      <c r="D239" s="240"/>
      <c r="E239" s="240"/>
      <c r="F239" s="240"/>
      <c r="G239" s="252">
        <f>H269</f>
        <v>0.9</v>
      </c>
      <c r="H239" s="371">
        <f>ROUND((C239*G239),2)</f>
        <v>0.9</v>
      </c>
    </row>
    <row r="240" spans="1:9">
      <c r="A240" s="551" t="s">
        <v>111</v>
      </c>
      <c r="B240" s="552"/>
      <c r="C240" s="552"/>
      <c r="D240" s="552"/>
      <c r="E240" s="552"/>
      <c r="F240" s="552"/>
      <c r="G240" s="552"/>
      <c r="H240" s="396">
        <f>ROUND(SUM(H238:H239),2)</f>
        <v>3.18</v>
      </c>
    </row>
    <row r="241" spans="1:8">
      <c r="A241" s="397"/>
      <c r="B241" s="242"/>
      <c r="C241" s="243"/>
      <c r="D241" s="243"/>
      <c r="E241" s="243"/>
      <c r="F241" s="243"/>
      <c r="G241" s="243"/>
      <c r="H241" s="398"/>
    </row>
    <row r="242" spans="1:8">
      <c r="A242" s="399" t="s">
        <v>116</v>
      </c>
      <c r="B242" s="244">
        <v>1</v>
      </c>
      <c r="C242" s="553" t="s">
        <v>387</v>
      </c>
      <c r="D242" s="553"/>
      <c r="E242" s="553"/>
      <c r="F242" s="553"/>
      <c r="G242" s="553"/>
      <c r="H242" s="374">
        <f>H240</f>
        <v>3.18</v>
      </c>
    </row>
    <row r="243" spans="1:8">
      <c r="A243" s="554" t="s">
        <v>323</v>
      </c>
      <c r="B243" s="555"/>
      <c r="C243" s="555"/>
      <c r="D243" s="555"/>
      <c r="E243" s="555"/>
      <c r="F243" s="555"/>
      <c r="G243" s="555"/>
      <c r="H243" s="390">
        <f>H242/B242</f>
        <v>3.18</v>
      </c>
    </row>
    <row r="244" spans="1:8">
      <c r="A244" s="400" t="s">
        <v>228</v>
      </c>
      <c r="B244" s="245">
        <v>0</v>
      </c>
      <c r="C244" s="246"/>
      <c r="D244" s="246"/>
      <c r="E244" s="246"/>
      <c r="F244" s="246"/>
      <c r="G244" s="246"/>
      <c r="H244" s="390">
        <f>ROUND((H243*B244),2)</f>
        <v>0</v>
      </c>
    </row>
    <row r="245" spans="1:8">
      <c r="A245" s="556" t="s">
        <v>120</v>
      </c>
      <c r="B245" s="557"/>
      <c r="C245" s="557"/>
      <c r="D245" s="557"/>
      <c r="E245" s="557"/>
      <c r="F245" s="557"/>
      <c r="G245" s="557"/>
      <c r="H245" s="385">
        <f>ROUND((H243+H244),2)</f>
        <v>3.18</v>
      </c>
    </row>
    <row r="246" spans="1:8" ht="13.5">
      <c r="A246" s="391" t="s">
        <v>97</v>
      </c>
      <c r="B246" s="237" t="s">
        <v>394</v>
      </c>
      <c r="C246" s="558" t="s">
        <v>381</v>
      </c>
      <c r="D246" s="558"/>
      <c r="E246" s="558"/>
      <c r="F246" s="558"/>
      <c r="G246" s="558"/>
      <c r="H246" s="559"/>
    </row>
    <row r="247" spans="1:8" ht="12.75" customHeight="1">
      <c r="A247" s="560" t="s">
        <v>336</v>
      </c>
      <c r="B247" s="561"/>
      <c r="C247" s="561"/>
      <c r="D247" s="561"/>
      <c r="E247" s="561"/>
      <c r="F247" s="561"/>
      <c r="G247" s="562" t="s">
        <v>335</v>
      </c>
      <c r="H247" s="563"/>
    </row>
    <row r="248" spans="1:8">
      <c r="A248" s="564" t="s">
        <v>401</v>
      </c>
      <c r="B248" s="565"/>
      <c r="C248" s="565"/>
      <c r="D248" s="565"/>
      <c r="E248" s="565"/>
      <c r="F248" s="565"/>
      <c r="G248" s="238" t="s">
        <v>382</v>
      </c>
      <c r="H248" s="393" t="s">
        <v>108</v>
      </c>
    </row>
    <row r="249" spans="1:8">
      <c r="A249" s="548" t="s">
        <v>100</v>
      </c>
      <c r="B249" s="549"/>
      <c r="C249" s="549"/>
      <c r="D249" s="549"/>
      <c r="E249" s="549"/>
      <c r="F249" s="549"/>
      <c r="G249" s="549"/>
      <c r="H249" s="550"/>
    </row>
    <row r="250" spans="1:8">
      <c r="A250" s="394" t="s">
        <v>92</v>
      </c>
      <c r="B250" s="239" t="s">
        <v>102</v>
      </c>
      <c r="C250" s="240" t="s">
        <v>61</v>
      </c>
      <c r="D250" s="247" t="s">
        <v>103</v>
      </c>
      <c r="E250" s="247" t="s">
        <v>104</v>
      </c>
      <c r="F250" s="248" t="s">
        <v>105</v>
      </c>
      <c r="G250" s="248" t="s">
        <v>106</v>
      </c>
      <c r="H250" s="395" t="s">
        <v>107</v>
      </c>
    </row>
    <row r="251" spans="1:8">
      <c r="A251" s="401" t="s">
        <v>402</v>
      </c>
      <c r="B251" s="239" t="s">
        <v>76</v>
      </c>
      <c r="C251" s="249">
        <v>2.1029999999999999E-4</v>
      </c>
      <c r="D251" s="250">
        <v>1</v>
      </c>
      <c r="E251" s="250">
        <v>0</v>
      </c>
      <c r="F251" s="241">
        <f>'Insumos cotação'!G20</f>
        <v>10850.3</v>
      </c>
      <c r="G251" s="251">
        <v>0</v>
      </c>
      <c r="H251" s="402">
        <f>ROUND(C251*D251*F251+C251*E251*G251,2)</f>
        <v>2.2799999999999998</v>
      </c>
    </row>
    <row r="252" spans="1:8">
      <c r="A252" s="551" t="s">
        <v>111</v>
      </c>
      <c r="B252" s="552"/>
      <c r="C252" s="552"/>
      <c r="D252" s="552"/>
      <c r="E252" s="552"/>
      <c r="F252" s="552"/>
      <c r="G252" s="552"/>
      <c r="H252" s="396">
        <f>ROUND(SUM(H251:H251),2)</f>
        <v>2.2799999999999998</v>
      </c>
    </row>
    <row r="253" spans="1:8">
      <c r="A253" s="397"/>
      <c r="B253" s="242"/>
      <c r="C253" s="243"/>
      <c r="D253" s="243"/>
      <c r="E253" s="243"/>
      <c r="F253" s="243"/>
      <c r="G253" s="243"/>
      <c r="H253" s="398"/>
    </row>
    <row r="254" spans="1:8">
      <c r="A254" s="399" t="s">
        <v>116</v>
      </c>
      <c r="B254" s="244">
        <v>1</v>
      </c>
      <c r="C254" s="553" t="s">
        <v>387</v>
      </c>
      <c r="D254" s="553"/>
      <c r="E254" s="553"/>
      <c r="F254" s="553"/>
      <c r="G254" s="553"/>
      <c r="H254" s="374">
        <f>H252</f>
        <v>2.2799999999999998</v>
      </c>
    </row>
    <row r="255" spans="1:8">
      <c r="A255" s="554" t="s">
        <v>323</v>
      </c>
      <c r="B255" s="555"/>
      <c r="C255" s="555"/>
      <c r="D255" s="555"/>
      <c r="E255" s="555"/>
      <c r="F255" s="555"/>
      <c r="G255" s="555"/>
      <c r="H255" s="390">
        <f>H254/B254</f>
        <v>2.2799999999999998</v>
      </c>
    </row>
    <row r="256" spans="1:8">
      <c r="A256" s="400" t="s">
        <v>228</v>
      </c>
      <c r="B256" s="245">
        <v>0</v>
      </c>
      <c r="C256" s="246"/>
      <c r="D256" s="246"/>
      <c r="E256" s="246"/>
      <c r="F256" s="246"/>
      <c r="G256" s="246"/>
      <c r="H256" s="390">
        <f>ROUND((H255*B256),2)</f>
        <v>0</v>
      </c>
    </row>
    <row r="257" spans="1:8">
      <c r="A257" s="556" t="s">
        <v>120</v>
      </c>
      <c r="B257" s="557"/>
      <c r="C257" s="557"/>
      <c r="D257" s="557"/>
      <c r="E257" s="557"/>
      <c r="F257" s="557"/>
      <c r="G257" s="557"/>
      <c r="H257" s="385">
        <f>ROUND((H255+H256),2)</f>
        <v>2.2799999999999998</v>
      </c>
    </row>
    <row r="258" spans="1:8" ht="13.5">
      <c r="A258" s="391" t="s">
        <v>97</v>
      </c>
      <c r="B258" s="237" t="s">
        <v>395</v>
      </c>
      <c r="C258" s="558" t="s">
        <v>397</v>
      </c>
      <c r="D258" s="558"/>
      <c r="E258" s="558"/>
      <c r="F258" s="558"/>
      <c r="G258" s="558"/>
      <c r="H258" s="559"/>
    </row>
    <row r="259" spans="1:8" ht="12.75" customHeight="1">
      <c r="A259" s="560" t="s">
        <v>336</v>
      </c>
      <c r="B259" s="561"/>
      <c r="C259" s="561"/>
      <c r="D259" s="561"/>
      <c r="E259" s="561"/>
      <c r="F259" s="561"/>
      <c r="G259" s="562" t="s">
        <v>335</v>
      </c>
      <c r="H259" s="563"/>
    </row>
    <row r="260" spans="1:8">
      <c r="A260" s="564" t="s">
        <v>403</v>
      </c>
      <c r="B260" s="565"/>
      <c r="C260" s="565"/>
      <c r="D260" s="565"/>
      <c r="E260" s="565"/>
      <c r="F260" s="565"/>
      <c r="G260" s="238" t="s">
        <v>382</v>
      </c>
      <c r="H260" s="393" t="s">
        <v>108</v>
      </c>
    </row>
    <row r="261" spans="1:8">
      <c r="A261" s="548" t="s">
        <v>100</v>
      </c>
      <c r="B261" s="549"/>
      <c r="C261" s="549"/>
      <c r="D261" s="549"/>
      <c r="E261" s="549"/>
      <c r="F261" s="549"/>
      <c r="G261" s="549"/>
      <c r="H261" s="550"/>
    </row>
    <row r="262" spans="1:8">
      <c r="A262" s="394" t="s">
        <v>92</v>
      </c>
      <c r="B262" s="239" t="s">
        <v>102</v>
      </c>
      <c r="C262" s="240" t="s">
        <v>61</v>
      </c>
      <c r="D262" s="247" t="s">
        <v>103</v>
      </c>
      <c r="E262" s="247" t="s">
        <v>104</v>
      </c>
      <c r="F262" s="248" t="s">
        <v>105</v>
      </c>
      <c r="G262" s="248" t="s">
        <v>106</v>
      </c>
      <c r="H262" s="395" t="s">
        <v>107</v>
      </c>
    </row>
    <row r="263" spans="1:8" ht="12.75" customHeight="1">
      <c r="A263" s="401" t="s">
        <v>402</v>
      </c>
      <c r="B263" s="239" t="s">
        <v>76</v>
      </c>
      <c r="C263" s="249">
        <v>8.3300000000000005E-5</v>
      </c>
      <c r="D263" s="250">
        <v>1</v>
      </c>
      <c r="E263" s="250">
        <v>0</v>
      </c>
      <c r="F263" s="241">
        <f>'Insumos cotação'!G20</f>
        <v>10850.3</v>
      </c>
      <c r="G263" s="251">
        <v>0</v>
      </c>
      <c r="H263" s="402">
        <f>ROUND(C263*D263*F263+C263*E263*G263,2)</f>
        <v>0.9</v>
      </c>
    </row>
    <row r="264" spans="1:8">
      <c r="A264" s="551" t="s">
        <v>111</v>
      </c>
      <c r="B264" s="552"/>
      <c r="C264" s="552"/>
      <c r="D264" s="552"/>
      <c r="E264" s="552"/>
      <c r="F264" s="552"/>
      <c r="G264" s="552"/>
      <c r="H264" s="396">
        <f>ROUND(SUM(H263:H263),2)</f>
        <v>0.9</v>
      </c>
    </row>
    <row r="265" spans="1:8">
      <c r="A265" s="397"/>
      <c r="B265" s="242"/>
      <c r="C265" s="243"/>
      <c r="D265" s="243"/>
      <c r="E265" s="243"/>
      <c r="F265" s="243"/>
      <c r="G265" s="243"/>
      <c r="H265" s="398"/>
    </row>
    <row r="266" spans="1:8">
      <c r="A266" s="399" t="s">
        <v>116</v>
      </c>
      <c r="B266" s="244">
        <v>1</v>
      </c>
      <c r="C266" s="553" t="s">
        <v>387</v>
      </c>
      <c r="D266" s="553"/>
      <c r="E266" s="553"/>
      <c r="F266" s="553"/>
      <c r="G266" s="553"/>
      <c r="H266" s="374">
        <f>H264</f>
        <v>0.9</v>
      </c>
    </row>
    <row r="267" spans="1:8">
      <c r="A267" s="554" t="s">
        <v>323</v>
      </c>
      <c r="B267" s="555"/>
      <c r="C267" s="555"/>
      <c r="D267" s="555"/>
      <c r="E267" s="555"/>
      <c r="F267" s="555"/>
      <c r="G267" s="555"/>
      <c r="H267" s="390">
        <f>H266/B266</f>
        <v>0.9</v>
      </c>
    </row>
    <row r="268" spans="1:8">
      <c r="A268" s="400" t="s">
        <v>228</v>
      </c>
      <c r="B268" s="245">
        <v>0</v>
      </c>
      <c r="C268" s="246"/>
      <c r="D268" s="246"/>
      <c r="E268" s="246"/>
      <c r="F268" s="246"/>
      <c r="G268" s="246"/>
      <c r="H268" s="390">
        <f>ROUND((H267*B268),2)</f>
        <v>0</v>
      </c>
    </row>
    <row r="269" spans="1:8" ht="13.5" thickBot="1">
      <c r="A269" s="546" t="s">
        <v>120</v>
      </c>
      <c r="B269" s="547"/>
      <c r="C269" s="547"/>
      <c r="D269" s="547"/>
      <c r="E269" s="547"/>
      <c r="F269" s="547"/>
      <c r="G269" s="547"/>
      <c r="H269" s="403">
        <f>ROUND((H267+H268),2)</f>
        <v>0.9</v>
      </c>
    </row>
  </sheetData>
  <autoFilter ref="A1:L210"/>
  <sortState ref="A19:I72">
    <sortCondition ref="A19"/>
  </sortState>
  <mergeCells count="145">
    <mergeCell ref="A147:H147"/>
    <mergeCell ref="A150:G150"/>
    <mergeCell ref="A151:F151"/>
    <mergeCell ref="A255:G255"/>
    <mergeCell ref="A257:G257"/>
    <mergeCell ref="C258:H258"/>
    <mergeCell ref="A259:F259"/>
    <mergeCell ref="G259:H259"/>
    <mergeCell ref="A260:F260"/>
    <mergeCell ref="C266:G266"/>
    <mergeCell ref="A267:G267"/>
    <mergeCell ref="A227:G227"/>
    <mergeCell ref="C229:G229"/>
    <mergeCell ref="E230:G230"/>
    <mergeCell ref="A232:G232"/>
    <mergeCell ref="A228:F228"/>
    <mergeCell ref="C233:H233"/>
    <mergeCell ref="A234:F234"/>
    <mergeCell ref="G234:H234"/>
    <mergeCell ref="A235:F235"/>
    <mergeCell ref="G157:H157"/>
    <mergeCell ref="A172:F172"/>
    <mergeCell ref="G178:H178"/>
    <mergeCell ref="A184:F184"/>
    <mergeCell ref="A108:F108"/>
    <mergeCell ref="G190:H190"/>
    <mergeCell ref="A206:F206"/>
    <mergeCell ref="C211:H211"/>
    <mergeCell ref="A212:F212"/>
    <mergeCell ref="G212:H212"/>
    <mergeCell ref="C138:H138"/>
    <mergeCell ref="A139:F139"/>
    <mergeCell ref="A140:F140"/>
    <mergeCell ref="A141:H141"/>
    <mergeCell ref="A146:G146"/>
    <mergeCell ref="C152:G152"/>
    <mergeCell ref="A153:G153"/>
    <mergeCell ref="A155:G155"/>
    <mergeCell ref="G114:H114"/>
    <mergeCell ref="G139:H139"/>
    <mergeCell ref="C113:H113"/>
    <mergeCell ref="A114:F114"/>
    <mergeCell ref="A115:F115"/>
    <mergeCell ref="A116:H116"/>
    <mergeCell ref="A119:G119"/>
    <mergeCell ref="A120:H120"/>
    <mergeCell ref="A125:G125"/>
    <mergeCell ref="A137:G137"/>
    <mergeCell ref="C136:G136"/>
    <mergeCell ref="A126:H126"/>
    <mergeCell ref="A132:G132"/>
    <mergeCell ref="C134:G134"/>
    <mergeCell ref="A135:G135"/>
    <mergeCell ref="A224:H224"/>
    <mergeCell ref="A261:H261"/>
    <mergeCell ref="A167:H167"/>
    <mergeCell ref="A210:G210"/>
    <mergeCell ref="C156:H156"/>
    <mergeCell ref="A157:F157"/>
    <mergeCell ref="A158:F158"/>
    <mergeCell ref="A159:H159"/>
    <mergeCell ref="A162:G162"/>
    <mergeCell ref="A195:G195"/>
    <mergeCell ref="A191:F191"/>
    <mergeCell ref="A192:H192"/>
    <mergeCell ref="A180:H180"/>
    <mergeCell ref="A186:G186"/>
    <mergeCell ref="C189:H189"/>
    <mergeCell ref="A190:F190"/>
    <mergeCell ref="A205:G205"/>
    <mergeCell ref="A188:G188"/>
    <mergeCell ref="A179:F179"/>
    <mergeCell ref="A171:G171"/>
    <mergeCell ref="C173:G173"/>
    <mergeCell ref="A208:G208"/>
    <mergeCell ref="C185:G185"/>
    <mergeCell ref="A196:H196"/>
    <mergeCell ref="A178:F178"/>
    <mergeCell ref="A163:H163"/>
    <mergeCell ref="A166:G166"/>
    <mergeCell ref="A218:H218"/>
    <mergeCell ref="A176:G176"/>
    <mergeCell ref="A213:F213"/>
    <mergeCell ref="A214:H214"/>
    <mergeCell ref="A217:G217"/>
    <mergeCell ref="A223:G223"/>
    <mergeCell ref="C207:G207"/>
    <mergeCell ref="A199:G199"/>
    <mergeCell ref="C1:H1"/>
    <mergeCell ref="A2:F2"/>
    <mergeCell ref="A3:F3"/>
    <mergeCell ref="A4:H4"/>
    <mergeCell ref="A21:H21"/>
    <mergeCell ref="A77:G77"/>
    <mergeCell ref="A8:G8"/>
    <mergeCell ref="C14:G14"/>
    <mergeCell ref="A15:G15"/>
    <mergeCell ref="A17:G17"/>
    <mergeCell ref="C18:H18"/>
    <mergeCell ref="A19:F19"/>
    <mergeCell ref="A20:F20"/>
    <mergeCell ref="G19:H19"/>
    <mergeCell ref="G2:H2"/>
    <mergeCell ref="A9:H9"/>
    <mergeCell ref="A12:G12"/>
    <mergeCell ref="A13:F13"/>
    <mergeCell ref="A85:F85"/>
    <mergeCell ref="C109:G109"/>
    <mergeCell ref="C86:G86"/>
    <mergeCell ref="A87:G87"/>
    <mergeCell ref="A89:G89"/>
    <mergeCell ref="A93:H93"/>
    <mergeCell ref="A110:G110"/>
    <mergeCell ref="C90:H90"/>
    <mergeCell ref="A91:F91"/>
    <mergeCell ref="A92:F92"/>
    <mergeCell ref="A99:G99"/>
    <mergeCell ref="A100:H100"/>
    <mergeCell ref="A107:G107"/>
    <mergeCell ref="A103:G103"/>
    <mergeCell ref="A104:H104"/>
    <mergeCell ref="J23:O23"/>
    <mergeCell ref="A269:G269"/>
    <mergeCell ref="A236:H236"/>
    <mergeCell ref="A240:G240"/>
    <mergeCell ref="C242:G242"/>
    <mergeCell ref="A243:G243"/>
    <mergeCell ref="A245:G245"/>
    <mergeCell ref="C246:H246"/>
    <mergeCell ref="A247:F247"/>
    <mergeCell ref="G247:H247"/>
    <mergeCell ref="A248:F248"/>
    <mergeCell ref="A249:H249"/>
    <mergeCell ref="A252:G252"/>
    <mergeCell ref="C254:G254"/>
    <mergeCell ref="A78:H78"/>
    <mergeCell ref="A84:G84"/>
    <mergeCell ref="A133:F133"/>
    <mergeCell ref="G91:H91"/>
    <mergeCell ref="A112:G112"/>
    <mergeCell ref="A200:H200"/>
    <mergeCell ref="A174:G174"/>
    <mergeCell ref="C177:H177"/>
    <mergeCell ref="A183:G183"/>
    <mergeCell ref="A264:G264"/>
  </mergeCells>
  <phoneticPr fontId="11" type="noConversion"/>
  <printOptions horizontalCentered="1" verticalCentered="1"/>
  <pageMargins left="1.1811023622047245" right="0.78740157480314965" top="0.98425196850393704" bottom="0.59055118110236227" header="0.51181102362204722" footer="0.51181102362204722"/>
  <pageSetup paperSize="9" scale="63" firstPageNumber="0" orientation="portrait" horizontalDpi="300" verticalDpi="300" r:id="rId1"/>
  <headerFooter scaleWithDoc="0" alignWithMargins="0">
    <oddFooter>&amp;A</oddFooter>
  </headerFooter>
  <rowBreaks count="9" manualBreakCount="9">
    <brk id="17" max="7" man="1"/>
    <brk id="89" max="7" man="1"/>
    <brk id="137" max="7" man="1"/>
    <brk id="155" max="7" man="1"/>
    <brk id="176" max="7" man="1"/>
    <brk id="188" max="7" man="1"/>
    <brk id="210" max="7" man="1"/>
    <brk id="232" max="7" man="1"/>
    <brk id="257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31" zoomScale="115" zoomScaleNormal="100" zoomScaleSheetLayoutView="115" workbookViewId="0">
      <selection activeCell="D60" sqref="D60"/>
    </sheetView>
  </sheetViews>
  <sheetFormatPr defaultRowHeight="12.75"/>
  <cols>
    <col min="1" max="1" width="9.140625" style="161"/>
    <col min="7" max="7" width="9.28515625" bestFit="1" customWidth="1"/>
    <col min="9" max="9" width="12" customWidth="1"/>
  </cols>
  <sheetData>
    <row r="1" spans="1:10" ht="31.5" customHeight="1" thickBot="1">
      <c r="A1" s="669" t="s">
        <v>97</v>
      </c>
      <c r="B1" s="670"/>
      <c r="C1" s="671" t="s">
        <v>98</v>
      </c>
      <c r="D1" s="672"/>
      <c r="E1" s="672"/>
      <c r="F1" s="672"/>
      <c r="G1" s="672"/>
      <c r="H1" s="672"/>
      <c r="I1" s="673"/>
    </row>
    <row r="2" spans="1:10" ht="15" customHeight="1" thickBot="1">
      <c r="A2" s="674" t="s">
        <v>368</v>
      </c>
      <c r="B2" s="675"/>
      <c r="C2" s="675"/>
      <c r="D2" s="675"/>
      <c r="E2" s="675"/>
      <c r="F2" s="675"/>
      <c r="G2" s="675"/>
      <c r="H2" s="675"/>
      <c r="I2" s="676"/>
    </row>
    <row r="3" spans="1:10">
      <c r="A3" s="162"/>
      <c r="B3" s="163"/>
      <c r="C3" s="164"/>
      <c r="D3" s="164"/>
      <c r="E3" s="164"/>
      <c r="F3" s="164"/>
      <c r="G3" s="164"/>
      <c r="H3" s="164"/>
      <c r="I3" s="165"/>
    </row>
    <row r="4" spans="1:10">
      <c r="A4" s="166" t="s">
        <v>175</v>
      </c>
      <c r="B4" s="156" t="s">
        <v>245</v>
      </c>
      <c r="C4" s="155"/>
      <c r="D4" s="155"/>
      <c r="E4" s="155"/>
      <c r="F4" s="155"/>
      <c r="G4" s="155"/>
      <c r="H4" s="155"/>
      <c r="I4" s="167"/>
    </row>
    <row r="5" spans="1:10">
      <c r="A5" s="168"/>
      <c r="B5" s="157"/>
      <c r="C5" s="155"/>
      <c r="D5" s="155"/>
      <c r="E5" s="155"/>
      <c r="F5" s="155"/>
      <c r="G5" s="155"/>
      <c r="H5" s="155"/>
      <c r="I5" s="167"/>
    </row>
    <row r="6" spans="1:10">
      <c r="A6" s="168" t="s">
        <v>166</v>
      </c>
      <c r="B6" s="158" t="s">
        <v>246</v>
      </c>
      <c r="C6" s="155"/>
      <c r="D6" s="155"/>
      <c r="E6" s="155"/>
      <c r="F6" s="155"/>
      <c r="G6" s="155"/>
      <c r="H6" s="155"/>
      <c r="I6" s="169">
        <v>33450</v>
      </c>
      <c r="J6" t="s">
        <v>303</v>
      </c>
    </row>
    <row r="7" spans="1:10">
      <c r="A7" s="168" t="s">
        <v>167</v>
      </c>
      <c r="B7" s="158" t="s">
        <v>252</v>
      </c>
      <c r="C7" s="155"/>
      <c r="D7" s="155"/>
      <c r="E7" s="155"/>
      <c r="F7" s="155"/>
      <c r="G7" s="155"/>
      <c r="H7" s="155"/>
      <c r="I7" s="167">
        <v>36</v>
      </c>
    </row>
    <row r="8" spans="1:10">
      <c r="A8" s="168" t="s">
        <v>168</v>
      </c>
      <c r="B8" s="158" t="s">
        <v>253</v>
      </c>
      <c r="C8" s="155"/>
      <c r="D8" s="155"/>
      <c r="E8" s="155"/>
      <c r="F8" s="155"/>
      <c r="G8" s="155"/>
      <c r="H8" s="155"/>
      <c r="I8" s="170">
        <v>0.4</v>
      </c>
    </row>
    <row r="9" spans="1:10">
      <c r="A9" s="168" t="s">
        <v>170</v>
      </c>
      <c r="B9" s="158" t="s">
        <v>254</v>
      </c>
      <c r="C9" s="155"/>
      <c r="D9" s="155"/>
      <c r="E9" s="155"/>
      <c r="F9" s="155"/>
      <c r="G9" s="155"/>
      <c r="H9" s="155"/>
      <c r="I9" s="171">
        <f>(I6-(I6*I8))/I7</f>
        <v>557.5</v>
      </c>
    </row>
    <row r="10" spans="1:10">
      <c r="A10" s="168"/>
      <c r="B10" s="157"/>
      <c r="C10" s="155"/>
      <c r="D10" s="155"/>
      <c r="E10" s="155"/>
      <c r="F10" s="155"/>
      <c r="G10" s="155"/>
      <c r="H10" s="155"/>
      <c r="I10" s="167"/>
    </row>
    <row r="11" spans="1:10">
      <c r="A11" s="166" t="s">
        <v>181</v>
      </c>
      <c r="B11" s="156" t="s">
        <v>247</v>
      </c>
      <c r="C11" s="155"/>
      <c r="D11" s="155"/>
      <c r="E11" s="155"/>
      <c r="F11" s="155"/>
      <c r="G11" s="155"/>
      <c r="H11" s="155"/>
      <c r="I11" s="167"/>
    </row>
    <row r="12" spans="1:10">
      <c r="A12" s="168"/>
      <c r="B12" s="157"/>
      <c r="C12" s="155"/>
      <c r="D12" s="155"/>
      <c r="E12" s="155"/>
      <c r="F12" s="155"/>
      <c r="G12" s="155"/>
      <c r="H12" s="155"/>
      <c r="I12" s="167"/>
    </row>
    <row r="13" spans="1:10">
      <c r="A13" s="168" t="s">
        <v>176</v>
      </c>
      <c r="B13" s="158" t="s">
        <v>248</v>
      </c>
      <c r="C13" s="155"/>
      <c r="D13" s="155"/>
      <c r="E13" s="155"/>
      <c r="F13" s="155"/>
      <c r="G13" s="155"/>
      <c r="H13" s="155"/>
      <c r="I13" s="170">
        <v>0.05</v>
      </c>
    </row>
    <row r="14" spans="1:10">
      <c r="A14" s="168" t="s">
        <v>177</v>
      </c>
      <c r="B14" s="159" t="s">
        <v>255</v>
      </c>
      <c r="C14" s="155"/>
      <c r="D14" s="155"/>
      <c r="E14" s="155"/>
      <c r="F14" s="155"/>
      <c r="G14" s="155"/>
      <c r="H14" s="155"/>
      <c r="I14" s="171">
        <f>I9*I13</f>
        <v>27.875</v>
      </c>
    </row>
    <row r="15" spans="1:10">
      <c r="A15" s="168"/>
      <c r="B15" s="157"/>
      <c r="C15" s="155"/>
      <c r="D15" s="155"/>
      <c r="E15" s="155"/>
      <c r="F15" s="155"/>
      <c r="G15" s="155"/>
      <c r="H15" s="155"/>
      <c r="I15" s="167"/>
    </row>
    <row r="16" spans="1:10">
      <c r="A16" s="166" t="s">
        <v>185</v>
      </c>
      <c r="B16" s="156" t="s">
        <v>249</v>
      </c>
      <c r="C16" s="155"/>
      <c r="D16" s="155"/>
      <c r="E16" s="155"/>
      <c r="F16" s="155"/>
      <c r="G16" s="155"/>
      <c r="H16" s="155"/>
      <c r="I16" s="167"/>
    </row>
    <row r="17" spans="1:10">
      <c r="A17" s="168"/>
      <c r="B17" s="157"/>
      <c r="C17" s="155"/>
      <c r="D17" s="155"/>
      <c r="E17" s="155"/>
      <c r="F17" s="155"/>
      <c r="G17" s="155"/>
      <c r="H17" s="155"/>
      <c r="I17" s="167"/>
    </row>
    <row r="18" spans="1:10">
      <c r="A18" s="168" t="s">
        <v>182</v>
      </c>
      <c r="B18" s="158" t="s">
        <v>256</v>
      </c>
      <c r="C18" s="160"/>
      <c r="D18" s="155"/>
      <c r="E18" s="155"/>
      <c r="F18" s="155"/>
      <c r="G18" s="155"/>
      <c r="H18" s="155"/>
      <c r="I18" s="170">
        <v>1</v>
      </c>
    </row>
    <row r="19" spans="1:10">
      <c r="A19" s="168" t="s">
        <v>183</v>
      </c>
      <c r="B19" s="158" t="s">
        <v>257</v>
      </c>
      <c r="C19" s="155"/>
      <c r="D19" s="155"/>
      <c r="E19" s="155"/>
      <c r="F19" s="155"/>
      <c r="G19" s="155"/>
      <c r="H19" s="155"/>
      <c r="I19" s="171">
        <f>I18*I9</f>
        <v>557.5</v>
      </c>
    </row>
    <row r="20" spans="1:10">
      <c r="A20" s="168"/>
      <c r="B20" s="157"/>
      <c r="C20" s="155"/>
      <c r="D20" s="155"/>
      <c r="E20" s="155"/>
      <c r="F20" s="155"/>
      <c r="G20" s="155"/>
      <c r="H20" s="155"/>
      <c r="I20" s="167"/>
    </row>
    <row r="21" spans="1:10">
      <c r="A21" s="166" t="s">
        <v>188</v>
      </c>
      <c r="B21" s="156" t="s">
        <v>250</v>
      </c>
      <c r="C21" s="155"/>
      <c r="D21" s="155"/>
      <c r="E21" s="155"/>
      <c r="F21" s="155"/>
      <c r="G21" s="155"/>
      <c r="H21" s="155"/>
      <c r="I21" s="167"/>
    </row>
    <row r="22" spans="1:10">
      <c r="A22" s="168"/>
      <c r="B22" s="157"/>
      <c r="C22" s="155"/>
      <c r="D22" s="155"/>
      <c r="E22" s="155"/>
      <c r="F22" s="155"/>
      <c r="G22" s="155"/>
      <c r="H22" s="155"/>
      <c r="I22" s="167"/>
    </row>
    <row r="23" spans="1:10">
      <c r="A23" s="168" t="s">
        <v>186</v>
      </c>
      <c r="B23" s="158" t="s">
        <v>258</v>
      </c>
      <c r="C23" s="155"/>
      <c r="D23" s="155"/>
      <c r="E23" s="155"/>
      <c r="F23" s="155"/>
      <c r="G23" s="155"/>
      <c r="H23" s="155"/>
      <c r="I23" s="172">
        <v>3000</v>
      </c>
    </row>
    <row r="24" spans="1:10">
      <c r="A24" s="168" t="s">
        <v>187</v>
      </c>
      <c r="B24" s="158" t="s">
        <v>261</v>
      </c>
      <c r="C24" s="155"/>
      <c r="D24" s="155"/>
      <c r="E24" s="155"/>
      <c r="F24" s="155"/>
      <c r="G24" s="155"/>
      <c r="H24" s="155"/>
      <c r="I24" s="169">
        <v>2.94</v>
      </c>
      <c r="J24" t="s">
        <v>303</v>
      </c>
    </row>
    <row r="25" spans="1:10">
      <c r="A25" s="168" t="s">
        <v>259</v>
      </c>
      <c r="B25" s="158" t="s">
        <v>262</v>
      </c>
      <c r="C25" s="155"/>
      <c r="D25" s="155"/>
      <c r="E25" s="155"/>
      <c r="F25" s="155"/>
      <c r="G25" s="155"/>
      <c r="H25" s="155"/>
      <c r="I25" s="167">
        <v>10</v>
      </c>
    </row>
    <row r="26" spans="1:10">
      <c r="A26" s="168" t="s">
        <v>260</v>
      </c>
      <c r="B26" s="158" t="s">
        <v>263</v>
      </c>
      <c r="C26" s="155"/>
      <c r="D26" s="155"/>
      <c r="E26" s="155"/>
      <c r="F26" s="155"/>
      <c r="G26" s="155"/>
      <c r="H26" s="155"/>
      <c r="I26" s="171">
        <f>(I23/I25)*I24</f>
        <v>882</v>
      </c>
    </row>
    <row r="27" spans="1:10">
      <c r="A27" s="168"/>
      <c r="B27" s="157"/>
      <c r="C27" s="155"/>
      <c r="D27" s="155"/>
      <c r="E27" s="155"/>
      <c r="F27" s="155"/>
      <c r="G27" s="155"/>
      <c r="H27" s="155"/>
      <c r="I27" s="167"/>
    </row>
    <row r="28" spans="1:10">
      <c r="A28" s="166" t="s">
        <v>264</v>
      </c>
      <c r="B28" s="156" t="s">
        <v>271</v>
      </c>
      <c r="C28" s="155"/>
      <c r="D28" s="155"/>
      <c r="E28" s="155"/>
      <c r="F28" s="155"/>
      <c r="G28" s="155"/>
      <c r="H28" s="155"/>
      <c r="I28" s="167"/>
    </row>
    <row r="29" spans="1:10">
      <c r="A29" s="168"/>
      <c r="B29" s="157"/>
      <c r="C29" s="155"/>
      <c r="D29" s="155"/>
      <c r="E29" s="155"/>
      <c r="F29" s="155"/>
      <c r="G29" s="155"/>
      <c r="H29" s="155"/>
      <c r="I29" s="167"/>
    </row>
    <row r="30" spans="1:10">
      <c r="A30" s="168" t="s">
        <v>265</v>
      </c>
      <c r="B30" s="158" t="s">
        <v>272</v>
      </c>
      <c r="C30" s="155"/>
      <c r="D30" s="155"/>
      <c r="E30" s="155"/>
      <c r="F30" s="155"/>
      <c r="G30" s="155"/>
      <c r="H30" s="155"/>
      <c r="I30" s="172">
        <f>I23*12</f>
        <v>36000</v>
      </c>
    </row>
    <row r="31" spans="1:10">
      <c r="A31" s="168" t="s">
        <v>266</v>
      </c>
      <c r="B31" s="158" t="s">
        <v>273</v>
      </c>
      <c r="C31" s="155"/>
      <c r="D31" s="155"/>
      <c r="E31" s="155"/>
      <c r="F31" s="155"/>
      <c r="G31" s="155"/>
      <c r="H31" s="155"/>
      <c r="I31" s="172">
        <v>5000</v>
      </c>
    </row>
    <row r="32" spans="1:10">
      <c r="A32" s="168" t="s">
        <v>267</v>
      </c>
      <c r="B32" s="158" t="s">
        <v>274</v>
      </c>
      <c r="C32" s="155"/>
      <c r="D32" s="155"/>
      <c r="E32" s="155"/>
      <c r="F32" s="155"/>
      <c r="G32" s="155"/>
      <c r="H32" s="155"/>
      <c r="I32" s="173">
        <v>24.93</v>
      </c>
      <c r="J32" t="s">
        <v>303</v>
      </c>
    </row>
    <row r="33" spans="1:10">
      <c r="A33" s="168" t="s">
        <v>268</v>
      </c>
      <c r="B33" s="158" t="s">
        <v>275</v>
      </c>
      <c r="C33" s="155"/>
      <c r="D33" s="155"/>
      <c r="E33" s="155"/>
      <c r="F33" s="155"/>
      <c r="G33" s="155"/>
      <c r="H33" s="155"/>
      <c r="I33" s="174">
        <v>3.5</v>
      </c>
    </row>
    <row r="34" spans="1:10">
      <c r="A34" s="168" t="s">
        <v>269</v>
      </c>
      <c r="B34" s="158" t="s">
        <v>276</v>
      </c>
      <c r="C34" s="155"/>
      <c r="D34" s="155"/>
      <c r="E34" s="155"/>
      <c r="F34" s="155"/>
      <c r="G34" s="155"/>
      <c r="H34" s="155"/>
      <c r="I34" s="169">
        <v>365</v>
      </c>
    </row>
    <row r="35" spans="1:10">
      <c r="A35" s="168" t="s">
        <v>270</v>
      </c>
      <c r="B35" s="158" t="s">
        <v>277</v>
      </c>
      <c r="C35" s="155"/>
      <c r="D35" s="155"/>
      <c r="E35" s="155"/>
      <c r="F35" s="155"/>
      <c r="G35" s="155"/>
      <c r="H35" s="155"/>
      <c r="I35" s="169">
        <f>(I30*I32*I33*30)/(I31*I34)</f>
        <v>51.635835616438357</v>
      </c>
    </row>
    <row r="36" spans="1:10">
      <c r="A36" s="168"/>
      <c r="B36" s="157"/>
      <c r="C36" s="155"/>
      <c r="D36" s="155"/>
      <c r="E36" s="155"/>
      <c r="F36" s="155"/>
      <c r="G36" s="155"/>
      <c r="H36" s="155"/>
      <c r="I36" s="167"/>
    </row>
    <row r="37" spans="1:10">
      <c r="A37" s="166" t="s">
        <v>278</v>
      </c>
      <c r="B37" s="156" t="s">
        <v>251</v>
      </c>
      <c r="C37" s="155"/>
      <c r="D37" s="155"/>
      <c r="E37" s="155"/>
      <c r="F37" s="155"/>
      <c r="G37" s="155"/>
      <c r="H37" s="155"/>
      <c r="I37" s="167"/>
    </row>
    <row r="38" spans="1:10">
      <c r="A38" s="168"/>
      <c r="B38" s="157"/>
      <c r="C38" s="155"/>
      <c r="D38" s="155"/>
      <c r="E38" s="155"/>
      <c r="F38" s="155"/>
      <c r="G38" s="155"/>
      <c r="H38" s="155"/>
      <c r="I38" s="167"/>
    </row>
    <row r="39" spans="1:10">
      <c r="A39" s="168" t="s">
        <v>279</v>
      </c>
      <c r="B39" s="158" t="s">
        <v>272</v>
      </c>
      <c r="C39" s="155"/>
      <c r="D39" s="155"/>
      <c r="E39" s="155"/>
      <c r="F39" s="155"/>
      <c r="G39" s="155"/>
      <c r="H39" s="155"/>
      <c r="I39" s="172">
        <f>I23*12</f>
        <v>36000</v>
      </c>
    </row>
    <row r="40" spans="1:10">
      <c r="A40" s="168" t="s">
        <v>280</v>
      </c>
      <c r="B40" s="158" t="s">
        <v>285</v>
      </c>
      <c r="C40" s="155"/>
      <c r="D40" s="155"/>
      <c r="E40" s="155"/>
      <c r="F40" s="155"/>
      <c r="G40" s="155"/>
      <c r="H40" s="155"/>
      <c r="I40" s="175">
        <v>45000</v>
      </c>
    </row>
    <row r="41" spans="1:10">
      <c r="A41" s="168" t="s">
        <v>281</v>
      </c>
      <c r="B41" s="158" t="s">
        <v>286</v>
      </c>
      <c r="C41" s="155"/>
      <c r="D41" s="155"/>
      <c r="E41" s="155"/>
      <c r="F41" s="155"/>
      <c r="G41" s="155"/>
      <c r="H41" s="155"/>
      <c r="I41" s="175">
        <v>5</v>
      </c>
    </row>
    <row r="42" spans="1:10">
      <c r="A42" s="168" t="s">
        <v>282</v>
      </c>
      <c r="B42" s="158" t="s">
        <v>287</v>
      </c>
      <c r="C42" s="155"/>
      <c r="D42" s="155"/>
      <c r="E42" s="155"/>
      <c r="F42" s="155"/>
      <c r="G42" s="155"/>
      <c r="H42" s="155"/>
      <c r="I42" s="176">
        <v>202.32</v>
      </c>
      <c r="J42" t="s">
        <v>303</v>
      </c>
    </row>
    <row r="43" spans="1:10">
      <c r="A43" s="168" t="s">
        <v>283</v>
      </c>
      <c r="B43" s="158" t="s">
        <v>276</v>
      </c>
      <c r="C43" s="155"/>
      <c r="D43" s="155"/>
      <c r="E43" s="155"/>
      <c r="F43" s="155"/>
      <c r="G43" s="155"/>
      <c r="H43" s="155"/>
      <c r="I43" s="177">
        <v>365</v>
      </c>
    </row>
    <row r="44" spans="1:10">
      <c r="A44" s="168" t="s">
        <v>284</v>
      </c>
      <c r="B44" s="157" t="s">
        <v>288</v>
      </c>
      <c r="C44" s="155"/>
      <c r="D44" s="155"/>
      <c r="E44" s="155"/>
      <c r="F44" s="155"/>
      <c r="G44" s="155"/>
      <c r="H44" s="155"/>
      <c r="I44" s="177">
        <f>(I39*I41*I42*30)/(I40*I43)</f>
        <v>66.516164383561645</v>
      </c>
    </row>
    <row r="45" spans="1:10">
      <c r="A45" s="168"/>
      <c r="B45" s="157"/>
      <c r="C45" s="155"/>
      <c r="D45" s="155"/>
      <c r="E45" s="155"/>
      <c r="F45" s="155"/>
      <c r="G45" s="155"/>
      <c r="H45" s="155"/>
      <c r="I45" s="177"/>
    </row>
    <row r="46" spans="1:10">
      <c r="A46" s="166" t="s">
        <v>289</v>
      </c>
      <c r="B46" s="156" t="s">
        <v>291</v>
      </c>
      <c r="C46" s="155"/>
      <c r="D46" s="155"/>
      <c r="E46" s="155"/>
      <c r="F46" s="155"/>
      <c r="G46" s="155"/>
      <c r="H46" s="155"/>
      <c r="I46" s="177"/>
    </row>
    <row r="47" spans="1:10">
      <c r="A47" s="166"/>
      <c r="B47" s="156"/>
      <c r="C47" s="155"/>
      <c r="D47" s="155"/>
      <c r="E47" s="155"/>
      <c r="F47" s="155"/>
      <c r="G47" s="155"/>
      <c r="H47" s="155"/>
      <c r="I47" s="177"/>
    </row>
    <row r="48" spans="1:10">
      <c r="A48" s="168" t="s">
        <v>292</v>
      </c>
      <c r="B48" s="157" t="s">
        <v>293</v>
      </c>
      <c r="C48" s="155"/>
      <c r="D48" s="155"/>
      <c r="E48" s="155"/>
      <c r="F48" s="155"/>
      <c r="G48" s="155"/>
      <c r="H48" s="155"/>
      <c r="I48" s="177">
        <v>2470.7199999999998</v>
      </c>
      <c r="J48" t="s">
        <v>303</v>
      </c>
    </row>
    <row r="49" spans="1:11">
      <c r="A49" s="166"/>
      <c r="B49" s="156"/>
      <c r="C49" s="155"/>
      <c r="D49" s="155"/>
      <c r="E49" s="155"/>
      <c r="F49" s="155"/>
      <c r="G49" s="155"/>
      <c r="H49" s="155"/>
      <c r="I49" s="177"/>
    </row>
    <row r="50" spans="1:11">
      <c r="A50" s="166" t="s">
        <v>294</v>
      </c>
      <c r="B50" s="156" t="s">
        <v>295</v>
      </c>
      <c r="C50" s="155"/>
      <c r="D50" s="155"/>
      <c r="E50" s="155"/>
      <c r="F50" s="155"/>
      <c r="G50" s="155"/>
      <c r="H50" s="155"/>
      <c r="I50" s="177"/>
    </row>
    <row r="51" spans="1:11">
      <c r="A51" s="166"/>
      <c r="B51" s="157" t="s">
        <v>296</v>
      </c>
      <c r="C51" s="155"/>
      <c r="D51" s="155"/>
      <c r="E51" s="155"/>
      <c r="F51" s="155"/>
      <c r="G51" s="155"/>
      <c r="H51" s="155"/>
      <c r="I51" s="178">
        <f>I9+I14+I19+I26+I35+I44</f>
        <v>2143.027</v>
      </c>
      <c r="J51" s="178"/>
    </row>
    <row r="52" spans="1:11">
      <c r="A52" s="166"/>
      <c r="B52" s="157" t="s">
        <v>297</v>
      </c>
      <c r="C52" s="155"/>
      <c r="D52" s="155"/>
      <c r="E52" s="155"/>
      <c r="F52" s="155"/>
      <c r="G52" s="155"/>
      <c r="H52" s="155"/>
      <c r="I52" s="178">
        <f>I51+I48</f>
        <v>4613.7469999999994</v>
      </c>
    </row>
    <row r="53" spans="1:11">
      <c r="A53" s="166"/>
      <c r="B53" s="156"/>
      <c r="C53" s="155"/>
      <c r="D53" s="155"/>
      <c r="E53" s="155"/>
      <c r="F53" s="155"/>
      <c r="G53" s="155"/>
      <c r="H53" s="155"/>
      <c r="I53" s="177"/>
      <c r="K53">
        <f>2176.93*1.2776</f>
        <v>2781.2457679999998</v>
      </c>
    </row>
    <row r="54" spans="1:11">
      <c r="A54" s="166" t="s">
        <v>298</v>
      </c>
      <c r="B54" s="156" t="s">
        <v>301</v>
      </c>
      <c r="C54" s="155"/>
      <c r="D54" s="155"/>
      <c r="E54" s="155"/>
      <c r="F54" s="155" t="s">
        <v>302</v>
      </c>
      <c r="G54" s="277">
        <f>'BDI - SERVIÇOS'!D27</f>
        <v>25.5</v>
      </c>
      <c r="H54" s="85" t="s">
        <v>119</v>
      </c>
      <c r="I54" s="177"/>
    </row>
    <row r="55" spans="1:11">
      <c r="A55" s="166"/>
      <c r="B55" s="157"/>
      <c r="C55" s="155"/>
      <c r="D55" s="155"/>
      <c r="E55" s="155"/>
      <c r="F55" s="155"/>
      <c r="G55" s="155"/>
      <c r="H55" s="155"/>
      <c r="I55" s="177"/>
    </row>
    <row r="56" spans="1:11">
      <c r="A56" s="168" t="s">
        <v>299</v>
      </c>
      <c r="B56" s="157" t="s">
        <v>296</v>
      </c>
      <c r="C56" s="155"/>
      <c r="D56" s="155"/>
      <c r="E56" s="155"/>
      <c r="F56" s="155"/>
      <c r="G56" s="155"/>
      <c r="H56" s="155"/>
      <c r="I56" s="178">
        <f>ROUND(I51+(I51*$G$54%),2)</f>
        <v>2689.5</v>
      </c>
    </row>
    <row r="57" spans="1:11" ht="13.5" thickBot="1">
      <c r="A57" s="179" t="s">
        <v>300</v>
      </c>
      <c r="B57" s="180" t="s">
        <v>297</v>
      </c>
      <c r="C57" s="181"/>
      <c r="D57" s="181"/>
      <c r="E57" s="181"/>
      <c r="F57" s="181"/>
      <c r="G57" s="181"/>
      <c r="H57" s="181"/>
      <c r="I57" s="182">
        <f>ROUND(I52+(I52*$G$54%),2)</f>
        <v>5790.25</v>
      </c>
    </row>
    <row r="59" spans="1:11">
      <c r="A59" s="184" t="s">
        <v>218</v>
      </c>
      <c r="D59" s="185">
        <f>ROUND((I51/(8*22)),2)</f>
        <v>12.18</v>
      </c>
    </row>
    <row r="60" spans="1:11">
      <c r="A60" s="184" t="s">
        <v>219</v>
      </c>
      <c r="D60" s="185">
        <f>ROUND((I52/(8*22)),2)</f>
        <v>26.21</v>
      </c>
    </row>
  </sheetData>
  <mergeCells count="3">
    <mergeCell ref="A1:B1"/>
    <mergeCell ref="C1:I1"/>
    <mergeCell ref="A2:I2"/>
  </mergeCells>
  <phoneticPr fontId="11" type="noConversion"/>
  <printOptions horizontalCentered="1"/>
  <pageMargins left="1.1811023622047245" right="0.78740157480314965" top="0.98425196850393704" bottom="0.98425196850393704" header="0.51181102362204722" footer="0.51181102362204722"/>
  <pageSetup paperSize="9" scale="86" orientation="portrait" verticalDpi="599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workbookViewId="0">
      <selection activeCell="I11" sqref="I11"/>
    </sheetView>
  </sheetViews>
  <sheetFormatPr defaultRowHeight="12.75"/>
  <cols>
    <col min="1" max="1" width="8.42578125" customWidth="1"/>
    <col min="2" max="2" width="30.140625" customWidth="1"/>
    <col min="4" max="4" width="9.28515625" customWidth="1"/>
    <col min="6" max="6" width="12.85546875" customWidth="1"/>
    <col min="7" max="7" width="11.28515625" customWidth="1"/>
  </cols>
  <sheetData>
    <row r="1" spans="1:7" ht="13.5" thickBot="1">
      <c r="A1" s="687"/>
      <c r="B1" s="687"/>
      <c r="C1" s="687"/>
      <c r="D1" s="687"/>
    </row>
    <row r="2" spans="1:7">
      <c r="A2" s="681" t="s">
        <v>493</v>
      </c>
      <c r="B2" s="682"/>
      <c r="C2" s="682"/>
      <c r="D2" s="683"/>
    </row>
    <row r="3" spans="1:7" ht="13.5" thickBot="1">
      <c r="A3" s="684"/>
      <c r="B3" s="685"/>
      <c r="C3" s="685"/>
      <c r="D3" s="686"/>
    </row>
    <row r="4" spans="1:7" ht="13.5" thickBot="1">
      <c r="A4" s="677" t="s">
        <v>225</v>
      </c>
      <c r="B4" s="679" t="s">
        <v>226</v>
      </c>
      <c r="C4" s="142" t="s">
        <v>119</v>
      </c>
      <c r="D4" s="279" t="s">
        <v>227</v>
      </c>
    </row>
    <row r="5" spans="1:7" ht="13.5" thickBot="1">
      <c r="A5" s="678"/>
      <c r="B5" s="680"/>
      <c r="C5" s="64" t="s">
        <v>229</v>
      </c>
      <c r="D5" s="143" t="s">
        <v>230</v>
      </c>
    </row>
    <row r="6" spans="1:7">
      <c r="A6" s="144"/>
      <c r="B6" s="65"/>
      <c r="C6" s="65"/>
      <c r="D6" s="145"/>
    </row>
    <row r="7" spans="1:7">
      <c r="A7" s="146">
        <v>1</v>
      </c>
      <c r="B7" s="66" t="s">
        <v>206</v>
      </c>
      <c r="C7" s="67"/>
      <c r="D7" s="147">
        <v>5.15</v>
      </c>
      <c r="G7" s="2"/>
    </row>
    <row r="8" spans="1:7">
      <c r="A8" s="146" t="s">
        <v>64</v>
      </c>
      <c r="B8" s="65" t="s">
        <v>231</v>
      </c>
      <c r="C8" s="67"/>
      <c r="D8" s="148"/>
    </row>
    <row r="9" spans="1:7">
      <c r="A9" s="146" t="s">
        <v>65</v>
      </c>
      <c r="B9" s="65" t="s">
        <v>232</v>
      </c>
      <c r="C9" s="67"/>
      <c r="D9" s="148"/>
    </row>
    <row r="10" spans="1:7">
      <c r="A10" s="146" t="s">
        <v>66</v>
      </c>
      <c r="B10" s="65" t="s">
        <v>233</v>
      </c>
      <c r="C10" s="67"/>
      <c r="D10" s="148"/>
    </row>
    <row r="11" spans="1:7">
      <c r="A11" s="146"/>
      <c r="B11" s="65"/>
      <c r="C11" s="67"/>
      <c r="D11" s="148"/>
    </row>
    <row r="12" spans="1:7">
      <c r="A12" s="146">
        <v>2</v>
      </c>
      <c r="B12" s="66" t="s">
        <v>207</v>
      </c>
      <c r="C12" s="68">
        <f>SUM(C13:C15)</f>
        <v>8.65</v>
      </c>
      <c r="D12" s="147">
        <f>SUM(D13:D15)</f>
        <v>10.870000000000001</v>
      </c>
    </row>
    <row r="13" spans="1:7">
      <c r="A13" s="146" t="s">
        <v>69</v>
      </c>
      <c r="B13" s="65" t="s">
        <v>234</v>
      </c>
      <c r="C13" s="67">
        <v>5</v>
      </c>
      <c r="D13" s="148">
        <f>ROUND(C13+(C13*$D$27/100),2)</f>
        <v>6.28</v>
      </c>
      <c r="G13" s="2"/>
    </row>
    <row r="14" spans="1:7">
      <c r="A14" s="146" t="s">
        <v>67</v>
      </c>
      <c r="B14" s="65" t="s">
        <v>216</v>
      </c>
      <c r="C14" s="67">
        <v>0.65</v>
      </c>
      <c r="D14" s="148">
        <f>ROUND(C14+(C14*$D$27/100),2)</f>
        <v>0.82</v>
      </c>
    </row>
    <row r="15" spans="1:7">
      <c r="A15" s="146" t="s">
        <v>68</v>
      </c>
      <c r="B15" s="65" t="s">
        <v>235</v>
      </c>
      <c r="C15" s="67">
        <v>3</v>
      </c>
      <c r="D15" s="148">
        <f>ROUND(C15+(C15*$D$27/100),2)</f>
        <v>3.77</v>
      </c>
      <c r="G15" s="2"/>
    </row>
    <row r="16" spans="1:7">
      <c r="A16" s="146"/>
      <c r="B16" s="65"/>
      <c r="C16" s="69"/>
      <c r="D16" s="280"/>
    </row>
    <row r="17" spans="1:7">
      <c r="A17" s="146"/>
      <c r="B17" s="65"/>
      <c r="C17" s="67"/>
      <c r="D17" s="148"/>
    </row>
    <row r="18" spans="1:7">
      <c r="A18" s="146">
        <v>3</v>
      </c>
      <c r="B18" s="66" t="s">
        <v>208</v>
      </c>
      <c r="C18" s="67"/>
      <c r="D18" s="147">
        <v>1</v>
      </c>
      <c r="G18" s="2"/>
    </row>
    <row r="19" spans="1:7">
      <c r="A19" s="146"/>
      <c r="B19" s="65"/>
      <c r="C19" s="67"/>
      <c r="D19" s="147"/>
    </row>
    <row r="20" spans="1:7">
      <c r="A20" s="146">
        <v>4</v>
      </c>
      <c r="B20" s="66" t="s">
        <v>209</v>
      </c>
      <c r="C20" s="67"/>
      <c r="D20" s="147">
        <v>0.94</v>
      </c>
      <c r="G20" s="2"/>
    </row>
    <row r="21" spans="1:7">
      <c r="A21" s="146"/>
      <c r="B21" s="66"/>
      <c r="C21" s="67"/>
      <c r="D21" s="148"/>
    </row>
    <row r="22" spans="1:7">
      <c r="A22" s="146">
        <v>5</v>
      </c>
      <c r="B22" s="66" t="s">
        <v>210</v>
      </c>
      <c r="C22" s="68">
        <v>6</v>
      </c>
      <c r="D22" s="147">
        <f>ROUND(C22+(C22*$D$27/100),2)</f>
        <v>7.53</v>
      </c>
      <c r="G22" s="2"/>
    </row>
    <row r="23" spans="1:7" ht="13.5" thickBot="1">
      <c r="A23" s="149"/>
      <c r="B23" s="70"/>
      <c r="C23" s="71"/>
      <c r="D23" s="150"/>
      <c r="F23" s="2"/>
    </row>
    <row r="24" spans="1:7" ht="13.5" thickBot="1">
      <c r="A24" s="151"/>
      <c r="B24" s="152"/>
      <c r="C24" s="152"/>
      <c r="D24" s="281">
        <f>D7+D12+D18+D20+D22</f>
        <v>25.490000000000006</v>
      </c>
    </row>
    <row r="26" spans="1:7">
      <c r="B26" s="63" t="s">
        <v>237</v>
      </c>
      <c r="C26" s="63"/>
      <c r="D26" s="72">
        <f>D24</f>
        <v>25.490000000000006</v>
      </c>
    </row>
    <row r="27" spans="1:7">
      <c r="B27" s="63" t="s">
        <v>238</v>
      </c>
      <c r="C27" s="63"/>
      <c r="D27" s="73">
        <v>25.5</v>
      </c>
    </row>
    <row r="29" spans="1:7">
      <c r="D29" s="153"/>
    </row>
  </sheetData>
  <mergeCells count="4">
    <mergeCell ref="A4:A5"/>
    <mergeCell ref="B4:B5"/>
    <mergeCell ref="A2:D3"/>
    <mergeCell ref="A1:D1"/>
  </mergeCells>
  <phoneticPr fontId="11" type="noConversion"/>
  <printOptions horizontalCentered="1"/>
  <pageMargins left="1.1811023622047245" right="0.78740157480314965" top="1.1811023622047245" bottom="0.98425196850393704" header="0.51181102362204722" footer="0.51181102362204722"/>
  <pageSetup paperSize="9" scale="125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I10" sqref="I10"/>
    </sheetView>
  </sheetViews>
  <sheetFormatPr defaultRowHeight="12.75"/>
  <cols>
    <col min="1" max="1" width="7.5703125" customWidth="1"/>
    <col min="2" max="2" width="32.42578125" customWidth="1"/>
    <col min="4" max="4" width="9.28515625" customWidth="1"/>
    <col min="7" max="7" width="16.5703125" customWidth="1"/>
  </cols>
  <sheetData>
    <row r="1" spans="1:7" ht="13.5" thickBot="1">
      <c r="A1" s="63"/>
    </row>
    <row r="2" spans="1:7">
      <c r="A2" s="681" t="s">
        <v>494</v>
      </c>
      <c r="B2" s="682"/>
      <c r="C2" s="682"/>
      <c r="D2" s="683"/>
    </row>
    <row r="3" spans="1:7" ht="13.5" thickBot="1">
      <c r="A3" s="684"/>
      <c r="B3" s="685"/>
      <c r="C3" s="685"/>
      <c r="D3" s="686"/>
    </row>
    <row r="4" spans="1:7" ht="13.5" thickBot="1">
      <c r="A4" s="688" t="s">
        <v>225</v>
      </c>
      <c r="B4" s="689" t="s">
        <v>226</v>
      </c>
      <c r="C4" s="103" t="s">
        <v>119</v>
      </c>
      <c r="D4" s="350" t="s">
        <v>227</v>
      </c>
    </row>
    <row r="5" spans="1:7" ht="13.5" thickBot="1">
      <c r="A5" s="678"/>
      <c r="B5" s="680"/>
      <c r="C5" s="64" t="s">
        <v>229</v>
      </c>
      <c r="D5" s="143" t="s">
        <v>230</v>
      </c>
      <c r="G5" s="74"/>
    </row>
    <row r="6" spans="1:7">
      <c r="A6" s="144"/>
      <c r="B6" s="65"/>
      <c r="C6" s="65"/>
      <c r="D6" s="145"/>
    </row>
    <row r="7" spans="1:7">
      <c r="A7" s="146">
        <v>1</v>
      </c>
      <c r="B7" s="66" t="s">
        <v>206</v>
      </c>
      <c r="C7" s="67"/>
      <c r="D7" s="147">
        <v>4</v>
      </c>
    </row>
    <row r="8" spans="1:7">
      <c r="A8" s="146" t="s">
        <v>64</v>
      </c>
      <c r="B8" s="65" t="s">
        <v>231</v>
      </c>
      <c r="C8" s="67"/>
      <c r="D8" s="148"/>
    </row>
    <row r="9" spans="1:7">
      <c r="A9" s="146" t="s">
        <v>65</v>
      </c>
      <c r="B9" s="65" t="s">
        <v>232</v>
      </c>
      <c r="C9" s="67"/>
      <c r="D9" s="148"/>
    </row>
    <row r="10" spans="1:7">
      <c r="A10" s="146" t="s">
        <v>66</v>
      </c>
      <c r="B10" s="65" t="s">
        <v>233</v>
      </c>
      <c r="C10" s="67"/>
      <c r="D10" s="148"/>
    </row>
    <row r="11" spans="1:7">
      <c r="A11" s="146"/>
      <c r="B11" s="65"/>
      <c r="C11" s="67"/>
      <c r="D11" s="148"/>
    </row>
    <row r="12" spans="1:7">
      <c r="A12" s="146">
        <v>2</v>
      </c>
      <c r="B12" s="66" t="s">
        <v>207</v>
      </c>
      <c r="C12" s="68">
        <f>SUM(C13:C16)</f>
        <v>3.65</v>
      </c>
      <c r="D12" s="147">
        <f>SUM(D13:D15)</f>
        <v>4.38</v>
      </c>
    </row>
    <row r="13" spans="1:7">
      <c r="A13" s="146" t="s">
        <v>69</v>
      </c>
      <c r="B13" s="65" t="s">
        <v>234</v>
      </c>
      <c r="C13" s="69" t="s">
        <v>236</v>
      </c>
      <c r="D13" s="280" t="s">
        <v>236</v>
      </c>
    </row>
    <row r="14" spans="1:7">
      <c r="A14" s="146" t="s">
        <v>67</v>
      </c>
      <c r="B14" s="65" t="s">
        <v>216</v>
      </c>
      <c r="C14" s="67">
        <v>0.65</v>
      </c>
      <c r="D14" s="148">
        <f>ROUND((C14*1.2),2)</f>
        <v>0.78</v>
      </c>
      <c r="G14" s="2"/>
    </row>
    <row r="15" spans="1:7">
      <c r="A15" s="146" t="s">
        <v>68</v>
      </c>
      <c r="B15" s="65" t="s">
        <v>212</v>
      </c>
      <c r="C15" s="67">
        <v>3</v>
      </c>
      <c r="D15" s="148">
        <f>ROUND((C15*1.2),2)</f>
        <v>3.6</v>
      </c>
      <c r="G15" s="2"/>
    </row>
    <row r="16" spans="1:7">
      <c r="A16" s="146"/>
      <c r="B16" s="65"/>
      <c r="C16" s="69"/>
      <c r="D16" s="280"/>
    </row>
    <row r="17" spans="1:7">
      <c r="A17" s="146"/>
      <c r="B17" s="65"/>
      <c r="C17" s="67"/>
      <c r="D17" s="148"/>
    </row>
    <row r="18" spans="1:7">
      <c r="A18" s="146">
        <v>3</v>
      </c>
      <c r="B18" s="66" t="s">
        <v>211</v>
      </c>
      <c r="C18" s="67"/>
      <c r="D18" s="147">
        <v>0</v>
      </c>
      <c r="G18" s="2"/>
    </row>
    <row r="19" spans="1:7">
      <c r="A19" s="146"/>
      <c r="B19" s="65"/>
      <c r="C19" s="67"/>
      <c r="D19" s="147"/>
    </row>
    <row r="20" spans="1:7">
      <c r="A20" s="146">
        <v>4</v>
      </c>
      <c r="B20" s="66" t="s">
        <v>209</v>
      </c>
      <c r="C20" s="67"/>
      <c r="D20" s="147">
        <v>0.94</v>
      </c>
      <c r="G20" s="2"/>
    </row>
    <row r="21" spans="1:7">
      <c r="A21" s="146"/>
      <c r="B21" s="66"/>
      <c r="C21" s="67"/>
      <c r="D21" s="148"/>
    </row>
    <row r="22" spans="1:7">
      <c r="A22" s="146">
        <v>5</v>
      </c>
      <c r="B22" s="66" t="s">
        <v>210</v>
      </c>
      <c r="C22" s="68">
        <v>7</v>
      </c>
      <c r="D22" s="147">
        <f>(C22)*7.2/6</f>
        <v>8.4</v>
      </c>
      <c r="G22" s="2"/>
    </row>
    <row r="23" spans="1:7" ht="13.5" thickBot="1">
      <c r="A23" s="149"/>
      <c r="B23" s="70"/>
      <c r="C23" s="71"/>
      <c r="D23" s="150"/>
    </row>
    <row r="24" spans="1:7" ht="13.5" thickBot="1">
      <c r="A24" s="151"/>
      <c r="B24" s="152"/>
      <c r="C24" s="152"/>
      <c r="D24" s="281">
        <f>D7+D12+D20+D22</f>
        <v>17.72</v>
      </c>
    </row>
    <row r="26" spans="1:7">
      <c r="B26" s="63" t="s">
        <v>237</v>
      </c>
      <c r="C26" s="63"/>
      <c r="D26" s="72">
        <f>D24</f>
        <v>17.72</v>
      </c>
    </row>
    <row r="27" spans="1:7">
      <c r="B27" s="63" t="s">
        <v>238</v>
      </c>
      <c r="C27" s="63"/>
      <c r="D27" s="73">
        <v>18</v>
      </c>
    </row>
  </sheetData>
  <mergeCells count="3">
    <mergeCell ref="A4:A5"/>
    <mergeCell ref="B4:B5"/>
    <mergeCell ref="A2:D3"/>
  </mergeCells>
  <phoneticPr fontId="11" type="noConversion"/>
  <printOptions horizontalCentered="1"/>
  <pageMargins left="1.1811023622047245" right="0.78740157480314965" top="1.1811023622047245" bottom="0.98425196850393704" header="0.51181102362204722" footer="0.51181102362204722"/>
  <pageSetup paperSize="9" scale="125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48"/>
  <sheetViews>
    <sheetView topLeftCell="A16" zoomScale="130" zoomScaleNormal="130" workbookViewId="0">
      <selection activeCell="B9" sqref="B9"/>
    </sheetView>
  </sheetViews>
  <sheetFormatPr defaultColWidth="11.5703125" defaultRowHeight="12.75"/>
  <cols>
    <col min="1" max="1" width="6.140625" style="88" customWidth="1"/>
    <col min="2" max="2" width="61.42578125" style="88" customWidth="1"/>
    <col min="3" max="3" width="14.140625" style="89" bestFit="1" customWidth="1"/>
    <col min="4" max="4" width="14.140625" style="89" customWidth="1"/>
    <col min="5" max="16384" width="11.5703125" style="88"/>
  </cols>
  <sheetData>
    <row r="1" spans="1:16" ht="42.75" customHeight="1" thickBot="1">
      <c r="A1" s="91"/>
      <c r="B1" s="92"/>
      <c r="C1" s="92"/>
      <c r="D1" s="93"/>
      <c r="E1" s="95"/>
      <c r="F1" s="95"/>
      <c r="G1" s="95"/>
      <c r="H1" s="95"/>
      <c r="I1" s="95"/>
      <c r="J1" s="94"/>
      <c r="K1" s="94"/>
      <c r="L1" s="94"/>
      <c r="M1" s="94"/>
      <c r="N1" s="94"/>
      <c r="O1" s="94"/>
      <c r="P1" s="94"/>
    </row>
    <row r="2" spans="1:16" ht="78.75" customHeight="1" thickBot="1">
      <c r="A2" s="690" t="str">
        <f>Serviços!A4</f>
        <v>EXECUÇÃO DOS SERVIÇOS E FORNECIMENTOS PARA MONTAGEM E INSTALAÇÃO DE 1.902 (MIL NOVECENTOS E DOIS) CAVALETES HIDRÁULICOS, COMPOSTOS POR VÁLVULAS CONTROLADORAS, HIDRÔMETROS, CONEXÕES E DEMAIS ACESSÓRIOS NAS PARCELAS IRRIGADAS DOS PERÍMETROS DE IRRIGAÇÃO FULGÊNCIO, BRÍGIDA E ICÓ-MANDANTES (BLOCOS 03 E 04), LOCALIZADOS, RESPECTIVAMENTE, NOS MUNICÍPIOS DE SANTA MARIA DA BOA VISTA, OROCÓ E PETROLÂNDIA NO ESTADO PERNAMBUCO</v>
      </c>
      <c r="B2" s="691"/>
      <c r="C2" s="691"/>
      <c r="D2" s="692"/>
      <c r="E2" s="96"/>
      <c r="F2" s="96"/>
      <c r="G2" s="96"/>
      <c r="H2" s="96"/>
      <c r="I2" s="96"/>
      <c r="J2" s="94"/>
      <c r="K2" s="94"/>
      <c r="L2" s="94"/>
      <c r="M2" s="94"/>
      <c r="N2" s="94"/>
      <c r="O2" s="94"/>
      <c r="P2" s="94"/>
    </row>
    <row r="3" spans="1:16" ht="17.25" customHeight="1" thickBot="1">
      <c r="A3" s="693" t="str">
        <f>Materiais!A3</f>
        <v>PETROLINA - PE / AGOSTO DE 2013</v>
      </c>
      <c r="B3" s="694"/>
      <c r="C3" s="694"/>
      <c r="D3" s="695"/>
      <c r="E3" s="97"/>
      <c r="F3" s="97"/>
      <c r="G3" s="97"/>
      <c r="H3" s="96"/>
      <c r="I3" s="96"/>
      <c r="J3" s="94"/>
      <c r="K3" s="94"/>
      <c r="L3" s="94"/>
      <c r="M3" s="94"/>
      <c r="N3" s="94"/>
      <c r="O3" s="94"/>
      <c r="P3" s="94"/>
    </row>
    <row r="4" spans="1:16" ht="19.5" customHeight="1" thickBot="1">
      <c r="A4" s="736" t="s">
        <v>538</v>
      </c>
      <c r="B4" s="737"/>
      <c r="C4" s="737"/>
      <c r="D4" s="738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</row>
    <row r="5" spans="1:16" ht="20.25" customHeight="1">
      <c r="A5" s="717" t="s">
        <v>537</v>
      </c>
      <c r="B5" s="718" t="s">
        <v>92</v>
      </c>
      <c r="C5" s="728" t="s">
        <v>189</v>
      </c>
      <c r="D5" s="719" t="s">
        <v>190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</row>
    <row r="6" spans="1:16">
      <c r="A6" s="706" t="s">
        <v>504</v>
      </c>
      <c r="B6" s="707"/>
      <c r="C6" s="707"/>
      <c r="D6" s="708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>
      <c r="A7" s="99" t="s">
        <v>166</v>
      </c>
      <c r="B7" s="716" t="s">
        <v>191</v>
      </c>
      <c r="C7" s="729">
        <v>20</v>
      </c>
      <c r="D7" s="710">
        <v>20</v>
      </c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</row>
    <row r="8" spans="1:16">
      <c r="A8" s="99" t="s">
        <v>167</v>
      </c>
      <c r="B8" s="711" t="s">
        <v>499</v>
      </c>
      <c r="C8" s="729">
        <v>1.5</v>
      </c>
      <c r="D8" s="710">
        <v>1.5</v>
      </c>
    </row>
    <row r="9" spans="1:16">
      <c r="A9" s="99" t="s">
        <v>168</v>
      </c>
      <c r="B9" s="711" t="s">
        <v>500</v>
      </c>
      <c r="C9" s="729">
        <v>1</v>
      </c>
      <c r="D9" s="710">
        <v>1</v>
      </c>
    </row>
    <row r="10" spans="1:16">
      <c r="A10" s="99" t="s">
        <v>170</v>
      </c>
      <c r="B10" s="711" t="s">
        <v>501</v>
      </c>
      <c r="C10" s="729">
        <v>0.2</v>
      </c>
      <c r="D10" s="710">
        <v>0.2</v>
      </c>
    </row>
    <row r="11" spans="1:16">
      <c r="A11" s="99" t="s">
        <v>171</v>
      </c>
      <c r="B11" s="711" t="s">
        <v>502</v>
      </c>
      <c r="C11" s="729">
        <v>0.6</v>
      </c>
      <c r="D11" s="710">
        <v>0.6</v>
      </c>
    </row>
    <row r="12" spans="1:16">
      <c r="A12" s="99" t="s">
        <v>172</v>
      </c>
      <c r="B12" s="711" t="s">
        <v>169</v>
      </c>
      <c r="C12" s="729">
        <v>2.5</v>
      </c>
      <c r="D12" s="710">
        <v>2.5</v>
      </c>
    </row>
    <row r="13" spans="1:16">
      <c r="A13" s="99" t="s">
        <v>173</v>
      </c>
      <c r="B13" s="711" t="s">
        <v>503</v>
      </c>
      <c r="C13" s="729">
        <v>3</v>
      </c>
      <c r="D13" s="710">
        <v>3</v>
      </c>
    </row>
    <row r="14" spans="1:16">
      <c r="A14" s="99" t="s">
        <v>174</v>
      </c>
      <c r="B14" s="711" t="s">
        <v>192</v>
      </c>
      <c r="C14" s="729">
        <v>8</v>
      </c>
      <c r="D14" s="710">
        <v>8</v>
      </c>
    </row>
    <row r="15" spans="1:16">
      <c r="A15" s="98" t="s">
        <v>175</v>
      </c>
      <c r="B15" s="709" t="s">
        <v>505</v>
      </c>
      <c r="C15" s="730">
        <f>SUM(C7:C14)</f>
        <v>36.799999999999997</v>
      </c>
      <c r="D15" s="713">
        <f>ROUND(SUM(D7:D14),2)</f>
        <v>36.799999999999997</v>
      </c>
    </row>
    <row r="16" spans="1:16">
      <c r="A16" s="706" t="s">
        <v>511</v>
      </c>
      <c r="B16" s="707"/>
      <c r="C16" s="707"/>
      <c r="D16" s="708"/>
    </row>
    <row r="17" spans="1:4">
      <c r="A17" s="99" t="s">
        <v>176</v>
      </c>
      <c r="B17" s="711" t="s">
        <v>512</v>
      </c>
      <c r="C17" s="731">
        <v>18.09</v>
      </c>
      <c r="D17" s="739">
        <v>0</v>
      </c>
    </row>
    <row r="18" spans="1:4">
      <c r="A18" s="99" t="s">
        <v>177</v>
      </c>
      <c r="B18" s="711" t="s">
        <v>513</v>
      </c>
      <c r="C18" s="731">
        <v>4.34</v>
      </c>
      <c r="D18" s="739">
        <v>0</v>
      </c>
    </row>
    <row r="19" spans="1:4">
      <c r="A19" s="99" t="s">
        <v>178</v>
      </c>
      <c r="B19" s="711" t="s">
        <v>514</v>
      </c>
      <c r="C19" s="731">
        <v>0.92</v>
      </c>
      <c r="D19" s="739">
        <v>0.69</v>
      </c>
    </row>
    <row r="20" spans="1:4">
      <c r="A20" s="99" t="s">
        <v>179</v>
      </c>
      <c r="B20" s="711" t="s">
        <v>515</v>
      </c>
      <c r="C20" s="731">
        <v>11.05</v>
      </c>
      <c r="D20" s="739">
        <v>8.33</v>
      </c>
    </row>
    <row r="21" spans="1:4">
      <c r="A21" s="99" t="s">
        <v>180</v>
      </c>
      <c r="B21" s="711" t="s">
        <v>516</v>
      </c>
      <c r="C21" s="731">
        <v>0.08</v>
      </c>
      <c r="D21" s="714">
        <v>0.06</v>
      </c>
    </row>
    <row r="22" spans="1:4">
      <c r="A22" s="99" t="s">
        <v>506</v>
      </c>
      <c r="B22" s="711" t="s">
        <v>517</v>
      </c>
      <c r="C22" s="731">
        <v>0.74</v>
      </c>
      <c r="D22" s="714">
        <v>0.56000000000000005</v>
      </c>
    </row>
    <row r="23" spans="1:4">
      <c r="A23" s="99" t="s">
        <v>507</v>
      </c>
      <c r="B23" s="711" t="s">
        <v>518</v>
      </c>
      <c r="C23" s="731">
        <v>2.31</v>
      </c>
      <c r="D23" s="714">
        <v>0</v>
      </c>
    </row>
    <row r="24" spans="1:4">
      <c r="A24" s="99" t="s">
        <v>508</v>
      </c>
      <c r="B24" s="711" t="s">
        <v>519</v>
      </c>
      <c r="C24" s="731">
        <v>0.12</v>
      </c>
      <c r="D24" s="714">
        <v>0.09</v>
      </c>
    </row>
    <row r="25" spans="1:4">
      <c r="A25" s="99" t="s">
        <v>509</v>
      </c>
      <c r="B25" s="711" t="s">
        <v>520</v>
      </c>
      <c r="C25" s="731">
        <v>10.53</v>
      </c>
      <c r="D25" s="714">
        <v>7.94</v>
      </c>
    </row>
    <row r="26" spans="1:4">
      <c r="A26" s="99" t="s">
        <v>510</v>
      </c>
      <c r="B26" s="711" t="s">
        <v>521</v>
      </c>
      <c r="C26" s="731">
        <v>0.03</v>
      </c>
      <c r="D26" s="714">
        <v>0.02</v>
      </c>
    </row>
    <row r="27" spans="1:4">
      <c r="A27" s="98" t="s">
        <v>181</v>
      </c>
      <c r="B27" s="712" t="s">
        <v>522</v>
      </c>
      <c r="C27" s="732">
        <f>SUM(C17:C26)</f>
        <v>48.210000000000008</v>
      </c>
      <c r="D27" s="715">
        <f>SUM(D17:D26)</f>
        <v>17.690000000000001</v>
      </c>
    </row>
    <row r="28" spans="1:4">
      <c r="A28" s="706" t="s">
        <v>523</v>
      </c>
      <c r="B28" s="707"/>
      <c r="C28" s="707"/>
      <c r="D28" s="708"/>
    </row>
    <row r="29" spans="1:4">
      <c r="A29" s="98" t="s">
        <v>185</v>
      </c>
      <c r="B29" s="712" t="s">
        <v>195</v>
      </c>
      <c r="C29" s="733"/>
      <c r="D29" s="720"/>
    </row>
    <row r="30" spans="1:4">
      <c r="A30" s="99" t="s">
        <v>182</v>
      </c>
      <c r="B30" s="711" t="s">
        <v>527</v>
      </c>
      <c r="C30" s="729">
        <v>7.03</v>
      </c>
      <c r="D30" s="710">
        <v>5.3</v>
      </c>
    </row>
    <row r="31" spans="1:4">
      <c r="A31" s="99" t="s">
        <v>183</v>
      </c>
      <c r="B31" s="711" t="s">
        <v>528</v>
      </c>
      <c r="C31" s="729">
        <v>0.37</v>
      </c>
      <c r="D31" s="714">
        <v>0.28000000000000003</v>
      </c>
    </row>
    <row r="32" spans="1:4">
      <c r="A32" s="99" t="s">
        <v>184</v>
      </c>
      <c r="B32" s="711" t="s">
        <v>529</v>
      </c>
      <c r="C32" s="729">
        <v>3.94</v>
      </c>
      <c r="D32" s="714">
        <v>2.98</v>
      </c>
    </row>
    <row r="33" spans="1:4">
      <c r="A33" s="99" t="s">
        <v>524</v>
      </c>
      <c r="B33" s="711" t="s">
        <v>530</v>
      </c>
      <c r="C33" s="729">
        <v>5.37</v>
      </c>
      <c r="D33" s="714">
        <v>4.05</v>
      </c>
    </row>
    <row r="34" spans="1:4">
      <c r="A34" s="99" t="s">
        <v>525</v>
      </c>
      <c r="B34" s="711" t="s">
        <v>531</v>
      </c>
      <c r="C34" s="729">
        <v>0.59</v>
      </c>
      <c r="D34" s="714">
        <v>0.45</v>
      </c>
    </row>
    <row r="35" spans="1:4">
      <c r="A35" s="98" t="s">
        <v>185</v>
      </c>
      <c r="B35" s="712" t="s">
        <v>526</v>
      </c>
      <c r="C35" s="730">
        <f>ROUND(SUM(C30:C34),2)</f>
        <v>17.3</v>
      </c>
      <c r="D35" s="713">
        <f>ROUND(SUM(D30:D34),2)</f>
        <v>13.06</v>
      </c>
    </row>
    <row r="36" spans="1:4">
      <c r="A36" s="706" t="s">
        <v>532</v>
      </c>
      <c r="B36" s="707"/>
      <c r="C36" s="707"/>
      <c r="D36" s="708"/>
    </row>
    <row r="37" spans="1:4">
      <c r="A37" s="99" t="s">
        <v>186</v>
      </c>
      <c r="B37" s="711" t="s">
        <v>533</v>
      </c>
      <c r="C37" s="729">
        <f>ROUND((C15/100*C27/100)*100,2)</f>
        <v>17.739999999999998</v>
      </c>
      <c r="D37" s="710">
        <f>ROUND((D15/100*D27/100)*100,2)</f>
        <v>6.51</v>
      </c>
    </row>
    <row r="38" spans="1:4" ht="25.5" customHeight="1">
      <c r="A38" s="99" t="s">
        <v>187</v>
      </c>
      <c r="B38" s="721" t="s">
        <v>534</v>
      </c>
      <c r="C38" s="729">
        <f>ROUND((((C15*C31)+(C14*C30))/100),2)</f>
        <v>0.7</v>
      </c>
      <c r="D38" s="710">
        <f>ROUND((((D15*D31)+(D14*D30))/100),2)</f>
        <v>0.53</v>
      </c>
    </row>
    <row r="39" spans="1:4" ht="13.5" thickBot="1">
      <c r="A39" s="722" t="s">
        <v>188</v>
      </c>
      <c r="B39" s="712" t="s">
        <v>535</v>
      </c>
      <c r="C39" s="734">
        <f>ROUND(SUM(C37:C38),2)</f>
        <v>18.440000000000001</v>
      </c>
      <c r="D39" s="723">
        <f>SUM(D37:D38)</f>
        <v>7.04</v>
      </c>
    </row>
    <row r="40" spans="1:4" ht="13.5" thickBot="1">
      <c r="A40" s="740" t="s">
        <v>536</v>
      </c>
      <c r="B40" s="741"/>
      <c r="C40" s="735">
        <f>ROUND(C39+C35+C27+C15,2)</f>
        <v>120.75</v>
      </c>
      <c r="D40" s="100">
        <f>ROUND((D39+D35+D27+D15),2)</f>
        <v>74.59</v>
      </c>
    </row>
    <row r="41" spans="1:4">
      <c r="C41" s="88"/>
      <c r="D41" s="88"/>
    </row>
    <row r="42" spans="1:4">
      <c r="D42" s="88"/>
    </row>
    <row r="43" spans="1:4">
      <c r="C43" s="90"/>
    </row>
    <row r="44" spans="1:4">
      <c r="C44" s="90"/>
    </row>
    <row r="45" spans="1:4">
      <c r="C45" s="90"/>
    </row>
    <row r="47" spans="1:4">
      <c r="C47" s="88"/>
    </row>
    <row r="48" spans="1:4">
      <c r="C48" s="88"/>
    </row>
  </sheetData>
  <mergeCells count="8">
    <mergeCell ref="A16:D16"/>
    <mergeCell ref="A28:D28"/>
    <mergeCell ref="A40:B40"/>
    <mergeCell ref="A4:D4"/>
    <mergeCell ref="A2:D2"/>
    <mergeCell ref="A3:D3"/>
    <mergeCell ref="A6:D6"/>
    <mergeCell ref="A36:D36"/>
  </mergeCells>
  <phoneticPr fontId="11" type="noConversion"/>
  <printOptions verticalCentered="1"/>
  <pageMargins left="1.1811023622047245" right="0.78740157480314965" top="0.98425196850393704" bottom="0.98425196850393704" header="0.51181102362204722" footer="0.51181102362204722"/>
  <pageSetup paperSize="9" scale="85" orientation="portrait" verticalDpi="599" r:id="rId1"/>
  <headerFooter alignWithMargins="0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/>
  <dimension ref="A1:F79"/>
  <sheetViews>
    <sheetView view="pageBreakPreview" topLeftCell="A8" zoomScaleNormal="85" zoomScaleSheetLayoutView="100" workbookViewId="0">
      <selection activeCell="C29" sqref="C29"/>
    </sheetView>
  </sheetViews>
  <sheetFormatPr defaultRowHeight="14.25"/>
  <cols>
    <col min="1" max="1" width="43.7109375" style="75" customWidth="1"/>
    <col min="2" max="2" width="12" style="76" customWidth="1"/>
    <col min="3" max="3" width="15.7109375" style="77" customWidth="1"/>
    <col min="4" max="4" width="13.28515625" style="230" customWidth="1"/>
    <col min="5" max="5" width="18" style="77" customWidth="1"/>
    <col min="6" max="16384" width="9.140625" style="77"/>
  </cols>
  <sheetData>
    <row r="1" spans="1:6" ht="19.5">
      <c r="A1" s="696" t="s">
        <v>495</v>
      </c>
      <c r="B1" s="697"/>
      <c r="C1" s="697"/>
      <c r="D1" s="698"/>
    </row>
    <row r="2" spans="1:6" ht="15">
      <c r="A2" s="406" t="s">
        <v>92</v>
      </c>
      <c r="B2" s="78" t="s">
        <v>60</v>
      </c>
      <c r="C2" s="78" t="s">
        <v>239</v>
      </c>
      <c r="D2" s="407" t="s">
        <v>240</v>
      </c>
      <c r="E2" s="404" t="s">
        <v>241</v>
      </c>
      <c r="F2" s="79">
        <v>30</v>
      </c>
    </row>
    <row r="3" spans="1:6">
      <c r="A3" s="408" t="s">
        <v>243</v>
      </c>
      <c r="B3" s="80" t="s">
        <v>214</v>
      </c>
      <c r="C3" s="81">
        <v>30.9</v>
      </c>
      <c r="D3" s="409" t="s">
        <v>244</v>
      </c>
      <c r="E3" s="405" t="s">
        <v>242</v>
      </c>
      <c r="F3" s="82"/>
    </row>
    <row r="4" spans="1:6">
      <c r="A4" s="408" t="s">
        <v>132</v>
      </c>
      <c r="B4" s="83" t="s">
        <v>89</v>
      </c>
      <c r="C4" s="81">
        <v>65</v>
      </c>
      <c r="D4" s="409" t="s">
        <v>304</v>
      </c>
      <c r="E4" s="405" t="s">
        <v>242</v>
      </c>
      <c r="F4" s="82"/>
    </row>
    <row r="5" spans="1:6">
      <c r="A5" s="408" t="s">
        <v>389</v>
      </c>
      <c r="B5" s="83" t="s">
        <v>89</v>
      </c>
      <c r="C5" s="81">
        <v>70</v>
      </c>
      <c r="D5" s="409" t="s">
        <v>193</v>
      </c>
      <c r="E5" s="405" t="s">
        <v>242</v>
      </c>
      <c r="F5" s="82"/>
    </row>
    <row r="6" spans="1:6">
      <c r="A6" s="410" t="s">
        <v>373</v>
      </c>
      <c r="B6" s="80" t="s">
        <v>108</v>
      </c>
      <c r="C6" s="81">
        <f>ROUND((7.55/2.2075),2)</f>
        <v>3.42</v>
      </c>
      <c r="D6" s="409" t="s">
        <v>58</v>
      </c>
      <c r="E6" s="405" t="s">
        <v>242</v>
      </c>
      <c r="F6" s="82"/>
    </row>
    <row r="7" spans="1:6">
      <c r="A7" s="410" t="s">
        <v>363</v>
      </c>
      <c r="B7" s="80" t="s">
        <v>108</v>
      </c>
      <c r="C7" s="81">
        <f>ROUND((6.79/2.2075),2)</f>
        <v>3.08</v>
      </c>
      <c r="D7" s="409" t="s">
        <v>480</v>
      </c>
      <c r="E7" s="405" t="s">
        <v>242</v>
      </c>
      <c r="F7" s="82"/>
    </row>
    <row r="8" spans="1:6">
      <c r="A8" s="437" t="s">
        <v>497</v>
      </c>
      <c r="B8" s="438" t="s">
        <v>108</v>
      </c>
      <c r="C8" s="439">
        <v>4.05</v>
      </c>
      <c r="D8" s="440" t="s">
        <v>498</v>
      </c>
      <c r="E8" s="405" t="s">
        <v>242</v>
      </c>
      <c r="F8" s="82"/>
    </row>
    <row r="9" spans="1:6">
      <c r="A9" s="410" t="s">
        <v>33</v>
      </c>
      <c r="B9" s="80" t="s">
        <v>34</v>
      </c>
      <c r="C9" s="81">
        <v>25.05</v>
      </c>
      <c r="D9" s="409" t="s">
        <v>35</v>
      </c>
      <c r="E9" s="405" t="s">
        <v>242</v>
      </c>
      <c r="F9" s="82"/>
    </row>
    <row r="10" spans="1:6">
      <c r="A10" s="410" t="s">
        <v>133</v>
      </c>
      <c r="B10" s="80" t="s">
        <v>200</v>
      </c>
      <c r="C10" s="81">
        <v>68.13</v>
      </c>
      <c r="D10" s="409" t="s">
        <v>305</v>
      </c>
      <c r="E10" s="405" t="s">
        <v>242</v>
      </c>
      <c r="F10" s="82"/>
    </row>
    <row r="11" spans="1:6" ht="31.5" customHeight="1">
      <c r="A11" s="410" t="s">
        <v>454</v>
      </c>
      <c r="B11" s="80" t="s">
        <v>30</v>
      </c>
      <c r="C11" s="81">
        <v>7.68</v>
      </c>
      <c r="D11" s="409" t="s">
        <v>455</v>
      </c>
      <c r="E11" s="405" t="s">
        <v>242</v>
      </c>
      <c r="F11" s="82"/>
    </row>
    <row r="12" spans="1:6">
      <c r="A12" s="408" t="s">
        <v>156</v>
      </c>
      <c r="B12" s="83" t="s">
        <v>87</v>
      </c>
      <c r="C12" s="81">
        <v>11.49</v>
      </c>
      <c r="D12" s="409" t="s">
        <v>307</v>
      </c>
      <c r="E12" s="405" t="s">
        <v>242</v>
      </c>
      <c r="F12" s="82"/>
    </row>
    <row r="13" spans="1:6">
      <c r="A13" s="408" t="s">
        <v>157</v>
      </c>
      <c r="B13" s="83" t="s">
        <v>87</v>
      </c>
      <c r="C13" s="81">
        <v>1.8</v>
      </c>
      <c r="D13" s="409" t="s">
        <v>308</v>
      </c>
      <c r="E13" s="405" t="s">
        <v>242</v>
      </c>
      <c r="F13" s="82"/>
    </row>
    <row r="14" spans="1:6">
      <c r="A14" s="408" t="s">
        <v>130</v>
      </c>
      <c r="B14" s="83" t="s">
        <v>30</v>
      </c>
      <c r="C14" s="81">
        <v>10.49</v>
      </c>
      <c r="D14" s="409" t="s">
        <v>309</v>
      </c>
      <c r="E14" s="405" t="s">
        <v>242</v>
      </c>
      <c r="F14" s="82"/>
    </row>
    <row r="15" spans="1:6">
      <c r="A15" s="408" t="s">
        <v>139</v>
      </c>
      <c r="B15" s="83" t="s">
        <v>30</v>
      </c>
      <c r="C15" s="81">
        <v>198</v>
      </c>
      <c r="D15" s="409" t="s">
        <v>310</v>
      </c>
      <c r="E15" s="405" t="s">
        <v>242</v>
      </c>
      <c r="F15" s="82"/>
    </row>
    <row r="16" spans="1:6">
      <c r="A16" s="408" t="s">
        <v>56</v>
      </c>
      <c r="B16" s="83" t="s">
        <v>30</v>
      </c>
      <c r="C16" s="81">
        <v>102.31</v>
      </c>
      <c r="D16" s="409" t="s">
        <v>311</v>
      </c>
      <c r="E16" s="405" t="s">
        <v>242</v>
      </c>
      <c r="F16" s="82"/>
    </row>
    <row r="17" spans="1:6" ht="28.5">
      <c r="A17" s="408" t="s">
        <v>155</v>
      </c>
      <c r="B17" s="83" t="s">
        <v>30</v>
      </c>
      <c r="C17" s="81">
        <v>18.95</v>
      </c>
      <c r="D17" s="409" t="s">
        <v>312</v>
      </c>
      <c r="E17" s="405" t="s">
        <v>242</v>
      </c>
      <c r="F17" s="82"/>
    </row>
    <row r="18" spans="1:6">
      <c r="A18" s="410" t="s">
        <v>50</v>
      </c>
      <c r="B18" s="80" t="s">
        <v>108</v>
      </c>
      <c r="C18" s="81">
        <v>71.61</v>
      </c>
      <c r="D18" s="409" t="s">
        <v>49</v>
      </c>
      <c r="E18" s="405" t="s">
        <v>242</v>
      </c>
      <c r="F18" s="82"/>
    </row>
    <row r="19" spans="1:6">
      <c r="A19" s="411" t="s">
        <v>199</v>
      </c>
      <c r="B19" s="83" t="s">
        <v>108</v>
      </c>
      <c r="C19" s="81">
        <v>26</v>
      </c>
      <c r="D19" s="409" t="s">
        <v>313</v>
      </c>
      <c r="E19" s="405" t="s">
        <v>242</v>
      </c>
      <c r="F19" s="82"/>
    </row>
    <row r="20" spans="1:6" ht="19.5" customHeight="1">
      <c r="A20" s="410" t="s">
        <v>31</v>
      </c>
      <c r="B20" s="80" t="s">
        <v>30</v>
      </c>
      <c r="C20" s="81">
        <v>8.83</v>
      </c>
      <c r="D20" s="409" t="s">
        <v>32</v>
      </c>
      <c r="E20" s="405" t="s">
        <v>242</v>
      </c>
      <c r="F20" s="82"/>
    </row>
    <row r="21" spans="1:6" ht="31.5" customHeight="1" thickBot="1">
      <c r="A21" s="412" t="s">
        <v>51</v>
      </c>
      <c r="B21" s="413" t="s">
        <v>30</v>
      </c>
      <c r="C21" s="414">
        <v>26.81</v>
      </c>
      <c r="D21" s="415" t="s">
        <v>52</v>
      </c>
      <c r="E21" s="405" t="s">
        <v>242</v>
      </c>
      <c r="F21" s="82"/>
    </row>
    <row r="22" spans="1:6">
      <c r="A22" s="416" t="s">
        <v>159</v>
      </c>
      <c r="B22" s="417" t="s">
        <v>122</v>
      </c>
      <c r="C22" s="418">
        <v>6.36</v>
      </c>
      <c r="D22" s="419" t="s">
        <v>314</v>
      </c>
      <c r="E22" s="405" t="s">
        <v>242</v>
      </c>
      <c r="F22" s="82"/>
    </row>
    <row r="23" spans="1:6">
      <c r="A23" s="410" t="s">
        <v>224</v>
      </c>
      <c r="B23" s="80" t="s">
        <v>217</v>
      </c>
      <c r="C23" s="81">
        <v>0.48</v>
      </c>
      <c r="D23" s="409" t="s">
        <v>315</v>
      </c>
      <c r="E23" s="405" t="s">
        <v>242</v>
      </c>
      <c r="F23" s="82"/>
    </row>
    <row r="24" spans="1:6" ht="42.75">
      <c r="A24" s="408" t="s">
        <v>161</v>
      </c>
      <c r="B24" s="83" t="s">
        <v>30</v>
      </c>
      <c r="C24" s="81">
        <v>4.9000000000000004</v>
      </c>
      <c r="D24" s="409" t="s">
        <v>316</v>
      </c>
      <c r="E24" s="405" t="s">
        <v>242</v>
      </c>
      <c r="F24" s="82"/>
    </row>
    <row r="25" spans="1:6" ht="42.75">
      <c r="A25" s="408" t="s">
        <v>126</v>
      </c>
      <c r="B25" s="83" t="s">
        <v>30</v>
      </c>
      <c r="C25" s="81">
        <v>1.95</v>
      </c>
      <c r="D25" s="409" t="s">
        <v>317</v>
      </c>
      <c r="E25" s="405" t="s">
        <v>242</v>
      </c>
      <c r="F25" s="82"/>
    </row>
    <row r="26" spans="1:6">
      <c r="A26" s="408" t="s">
        <v>128</v>
      </c>
      <c r="B26" s="83" t="s">
        <v>30</v>
      </c>
      <c r="C26" s="81">
        <v>20</v>
      </c>
      <c r="D26" s="409" t="s">
        <v>318</v>
      </c>
      <c r="E26" s="405" t="s">
        <v>242</v>
      </c>
      <c r="F26" s="82"/>
    </row>
    <row r="27" spans="1:6">
      <c r="A27" s="408" t="s">
        <v>129</v>
      </c>
      <c r="B27" s="83" t="s">
        <v>30</v>
      </c>
      <c r="C27" s="81">
        <v>4.9800000000000004</v>
      </c>
      <c r="D27" s="409" t="s">
        <v>319</v>
      </c>
      <c r="E27" s="405" t="s">
        <v>242</v>
      </c>
      <c r="F27" s="82"/>
    </row>
    <row r="28" spans="1:6" ht="13.5" customHeight="1">
      <c r="A28" s="420" t="s">
        <v>48</v>
      </c>
      <c r="B28" s="84" t="s">
        <v>108</v>
      </c>
      <c r="C28" s="81">
        <f>ROUND((10.04/2.2075),2)</f>
        <v>4.55</v>
      </c>
      <c r="D28" s="421" t="s">
        <v>379</v>
      </c>
      <c r="E28" s="405" t="s">
        <v>242</v>
      </c>
      <c r="F28" s="82"/>
    </row>
    <row r="29" spans="1:6">
      <c r="A29" s="410" t="s">
        <v>38</v>
      </c>
      <c r="B29" s="80" t="s">
        <v>108</v>
      </c>
      <c r="C29" s="81">
        <f>ROUND((21.94/2.2075),2)</f>
        <v>9.94</v>
      </c>
      <c r="D29" s="409" t="s">
        <v>43</v>
      </c>
      <c r="E29" s="405" t="s">
        <v>242</v>
      </c>
      <c r="F29" s="82"/>
    </row>
    <row r="30" spans="1:6">
      <c r="A30" s="410" t="s">
        <v>343</v>
      </c>
      <c r="B30" s="80" t="s">
        <v>30</v>
      </c>
      <c r="C30" s="81">
        <v>475.86</v>
      </c>
      <c r="D30" s="409" t="s">
        <v>345</v>
      </c>
      <c r="E30" s="405" t="s">
        <v>242</v>
      </c>
      <c r="F30" s="82"/>
    </row>
    <row r="31" spans="1:6">
      <c r="A31" s="410" t="s">
        <v>418</v>
      </c>
      <c r="B31" s="80" t="s">
        <v>30</v>
      </c>
      <c r="C31" s="81">
        <v>145.5</v>
      </c>
      <c r="D31" s="409" t="s">
        <v>347</v>
      </c>
      <c r="E31" s="405" t="s">
        <v>242</v>
      </c>
      <c r="F31" s="82"/>
    </row>
    <row r="32" spans="1:6" ht="25.5" customHeight="1">
      <c r="A32" s="410" t="s">
        <v>341</v>
      </c>
      <c r="B32" s="80" t="s">
        <v>30</v>
      </c>
      <c r="C32" s="81">
        <v>134.58000000000001</v>
      </c>
      <c r="D32" s="409" t="s">
        <v>344</v>
      </c>
      <c r="E32" s="405" t="s">
        <v>242</v>
      </c>
      <c r="F32" s="82"/>
    </row>
    <row r="33" spans="1:6" ht="15" customHeight="1">
      <c r="A33" s="422" t="s">
        <v>424</v>
      </c>
      <c r="B33" s="80" t="s">
        <v>30</v>
      </c>
      <c r="C33" s="81">
        <v>7.85</v>
      </c>
      <c r="D33" s="409" t="s">
        <v>459</v>
      </c>
      <c r="E33" s="405" t="s">
        <v>242</v>
      </c>
      <c r="F33" s="82"/>
    </row>
    <row r="34" spans="1:6">
      <c r="A34" s="408" t="s">
        <v>148</v>
      </c>
      <c r="B34" s="80" t="s">
        <v>30</v>
      </c>
      <c r="C34" s="81">
        <v>6.18</v>
      </c>
      <c r="D34" s="409" t="s">
        <v>0</v>
      </c>
      <c r="E34" s="405" t="s">
        <v>242</v>
      </c>
      <c r="F34" s="82"/>
    </row>
    <row r="35" spans="1:6">
      <c r="A35" s="408" t="s">
        <v>163</v>
      </c>
      <c r="B35" s="80" t="s">
        <v>30</v>
      </c>
      <c r="C35" s="81">
        <v>6.39</v>
      </c>
      <c r="D35" s="409" t="s">
        <v>1</v>
      </c>
      <c r="E35" s="405" t="s">
        <v>242</v>
      </c>
      <c r="F35" s="82"/>
    </row>
    <row r="36" spans="1:6">
      <c r="A36" s="408" t="s">
        <v>142</v>
      </c>
      <c r="B36" s="80" t="s">
        <v>30</v>
      </c>
      <c r="C36" s="81">
        <v>5.65</v>
      </c>
      <c r="D36" s="409" t="s">
        <v>2</v>
      </c>
      <c r="E36" s="405" t="s">
        <v>242</v>
      </c>
      <c r="F36" s="82"/>
    </row>
    <row r="37" spans="1:6">
      <c r="A37" s="408" t="s">
        <v>140</v>
      </c>
      <c r="B37" s="80" t="s">
        <v>30</v>
      </c>
      <c r="C37" s="81">
        <v>0.39</v>
      </c>
      <c r="D37" s="409" t="s">
        <v>3</v>
      </c>
      <c r="E37" s="405" t="s">
        <v>242</v>
      </c>
      <c r="F37" s="82"/>
    </row>
    <row r="38" spans="1:6">
      <c r="A38" s="408" t="s">
        <v>144</v>
      </c>
      <c r="B38" s="80" t="s">
        <v>30</v>
      </c>
      <c r="C38" s="81">
        <v>2.92</v>
      </c>
      <c r="D38" s="409" t="s">
        <v>4</v>
      </c>
      <c r="E38" s="405" t="s">
        <v>242</v>
      </c>
      <c r="F38" s="82"/>
    </row>
    <row r="39" spans="1:6">
      <c r="A39" s="408" t="s">
        <v>143</v>
      </c>
      <c r="B39" s="80" t="s">
        <v>30</v>
      </c>
      <c r="C39" s="81">
        <v>3.41</v>
      </c>
      <c r="D39" s="409" t="s">
        <v>5</v>
      </c>
      <c r="E39" s="405" t="s">
        <v>242</v>
      </c>
      <c r="F39" s="82"/>
    </row>
    <row r="40" spans="1:6">
      <c r="A40" s="408" t="s">
        <v>141</v>
      </c>
      <c r="B40" s="80" t="s">
        <v>30</v>
      </c>
      <c r="C40" s="81">
        <v>1.07</v>
      </c>
      <c r="D40" s="409" t="s">
        <v>6</v>
      </c>
      <c r="E40" s="405" t="s">
        <v>242</v>
      </c>
      <c r="F40" s="82"/>
    </row>
    <row r="41" spans="1:6">
      <c r="A41" s="408" t="s">
        <v>352</v>
      </c>
      <c r="B41" s="80" t="s">
        <v>30</v>
      </c>
      <c r="C41" s="81">
        <v>12.57</v>
      </c>
      <c r="D41" s="409" t="s">
        <v>353</v>
      </c>
      <c r="E41" s="405" t="s">
        <v>242</v>
      </c>
      <c r="F41" s="82"/>
    </row>
    <row r="42" spans="1:6" ht="15" thickBot="1">
      <c r="A42" s="412" t="s">
        <v>138</v>
      </c>
      <c r="B42" s="430" t="s">
        <v>30</v>
      </c>
      <c r="C42" s="414">
        <v>55.73</v>
      </c>
      <c r="D42" s="415" t="s">
        <v>7</v>
      </c>
      <c r="E42" s="405" t="s">
        <v>242</v>
      </c>
      <c r="F42" s="82"/>
    </row>
    <row r="43" spans="1:6" ht="19.5">
      <c r="A43" s="696" t="s">
        <v>496</v>
      </c>
      <c r="B43" s="697"/>
      <c r="C43" s="697"/>
      <c r="D43" s="698"/>
      <c r="E43" s="405"/>
      <c r="F43" s="82"/>
    </row>
    <row r="44" spans="1:6" ht="15">
      <c r="A44" s="406" t="s">
        <v>92</v>
      </c>
      <c r="B44" s="78" t="s">
        <v>60</v>
      </c>
      <c r="C44" s="78" t="s">
        <v>239</v>
      </c>
      <c r="D44" s="407" t="s">
        <v>240</v>
      </c>
      <c r="E44" s="405"/>
      <c r="F44" s="82"/>
    </row>
    <row r="45" spans="1:6" ht="15">
      <c r="A45" s="422" t="s">
        <v>429</v>
      </c>
      <c r="B45" s="80" t="s">
        <v>30</v>
      </c>
      <c r="C45" s="81">
        <v>37.380000000000003</v>
      </c>
      <c r="D45" s="409" t="s">
        <v>470</v>
      </c>
      <c r="E45" s="405" t="s">
        <v>242</v>
      </c>
      <c r="F45" s="82"/>
    </row>
    <row r="46" spans="1:6">
      <c r="A46" s="408" t="s">
        <v>370</v>
      </c>
      <c r="B46" s="80" t="s">
        <v>30</v>
      </c>
      <c r="C46" s="81">
        <v>62.57</v>
      </c>
      <c r="D46" s="409" t="s">
        <v>371</v>
      </c>
      <c r="E46" s="405" t="s">
        <v>242</v>
      </c>
      <c r="F46" s="82"/>
    </row>
    <row r="47" spans="1:6" ht="15">
      <c r="A47" s="422" t="s">
        <v>430</v>
      </c>
      <c r="B47" s="80" t="s">
        <v>30</v>
      </c>
      <c r="C47" s="81">
        <v>14.43</v>
      </c>
      <c r="D47" s="423" t="s">
        <v>471</v>
      </c>
      <c r="E47" s="405" t="s">
        <v>242</v>
      </c>
      <c r="F47" s="82"/>
    </row>
    <row r="48" spans="1:6">
      <c r="A48" s="408" t="s">
        <v>36</v>
      </c>
      <c r="B48" s="83" t="s">
        <v>108</v>
      </c>
      <c r="C48" s="81">
        <f>ROUND((10.04/2.2075),2)</f>
        <v>4.55</v>
      </c>
      <c r="D48" s="409" t="s">
        <v>8</v>
      </c>
      <c r="E48" s="405" t="s">
        <v>242</v>
      </c>
      <c r="F48" s="82"/>
    </row>
    <row r="49" spans="1:6">
      <c r="A49" s="410" t="s">
        <v>326</v>
      </c>
      <c r="B49" s="80" t="s">
        <v>87</v>
      </c>
      <c r="C49" s="81">
        <v>3.69</v>
      </c>
      <c r="D49" s="409" t="s">
        <v>327</v>
      </c>
      <c r="E49" s="405" t="s">
        <v>242</v>
      </c>
      <c r="F49" s="82"/>
    </row>
    <row r="50" spans="1:6">
      <c r="A50" s="410" t="s">
        <v>330</v>
      </c>
      <c r="B50" s="80" t="s">
        <v>87</v>
      </c>
      <c r="C50" s="81">
        <v>5.27</v>
      </c>
      <c r="D50" s="424" t="s">
        <v>329</v>
      </c>
      <c r="E50" s="405" t="s">
        <v>242</v>
      </c>
      <c r="F50" s="82"/>
    </row>
    <row r="51" spans="1:6">
      <c r="A51" s="410" t="s">
        <v>390</v>
      </c>
      <c r="B51" s="80" t="s">
        <v>200</v>
      </c>
      <c r="C51" s="81">
        <v>65.8</v>
      </c>
      <c r="D51" s="409" t="s">
        <v>306</v>
      </c>
      <c r="E51" s="405" t="s">
        <v>242</v>
      </c>
      <c r="F51" s="82"/>
    </row>
    <row r="52" spans="1:6" ht="28.5">
      <c r="A52" s="425" t="s">
        <v>204</v>
      </c>
      <c r="B52" s="80" t="s">
        <v>202</v>
      </c>
      <c r="C52" s="81">
        <v>235</v>
      </c>
      <c r="D52" s="409" t="s">
        <v>356</v>
      </c>
      <c r="E52" s="405" t="s">
        <v>242</v>
      </c>
      <c r="F52" s="82"/>
    </row>
    <row r="53" spans="1:6">
      <c r="A53" s="408" t="s">
        <v>125</v>
      </c>
      <c r="B53" s="83" t="s">
        <v>87</v>
      </c>
      <c r="C53" s="81">
        <v>8.6</v>
      </c>
      <c r="D53" s="409" t="s">
        <v>10</v>
      </c>
      <c r="E53" s="405" t="s">
        <v>242</v>
      </c>
      <c r="F53" s="82"/>
    </row>
    <row r="54" spans="1:6">
      <c r="A54" s="408" t="s">
        <v>158</v>
      </c>
      <c r="B54" s="83" t="s">
        <v>30</v>
      </c>
      <c r="C54" s="81">
        <v>285.72000000000003</v>
      </c>
      <c r="D54" s="409" t="s">
        <v>11</v>
      </c>
      <c r="E54" s="405" t="s">
        <v>242</v>
      </c>
      <c r="F54" s="82"/>
    </row>
    <row r="55" spans="1:6">
      <c r="A55" s="408" t="s">
        <v>123</v>
      </c>
      <c r="B55" s="83" t="s">
        <v>124</v>
      </c>
      <c r="C55" s="81">
        <v>6.47</v>
      </c>
      <c r="D55" s="409" t="s">
        <v>12</v>
      </c>
      <c r="E55" s="405" t="s">
        <v>242</v>
      </c>
      <c r="F55" s="82"/>
    </row>
    <row r="56" spans="1:6">
      <c r="A56" s="408" t="s">
        <v>196</v>
      </c>
      <c r="B56" s="83" t="s">
        <v>122</v>
      </c>
      <c r="C56" s="81">
        <v>23.03</v>
      </c>
      <c r="D56" s="409" t="s">
        <v>13</v>
      </c>
      <c r="E56" s="405" t="s">
        <v>242</v>
      </c>
      <c r="F56" s="82"/>
    </row>
    <row r="57" spans="1:6">
      <c r="A57" s="408" t="s">
        <v>481</v>
      </c>
      <c r="B57" s="83" t="s">
        <v>87</v>
      </c>
      <c r="C57" s="81">
        <v>4.4800000000000004</v>
      </c>
      <c r="D57" s="409" t="s">
        <v>483</v>
      </c>
      <c r="E57" s="405" t="s">
        <v>242</v>
      </c>
      <c r="F57" s="82"/>
    </row>
    <row r="58" spans="1:6" ht="13.5" customHeight="1">
      <c r="A58" s="408" t="s">
        <v>198</v>
      </c>
      <c r="B58" s="83" t="s">
        <v>108</v>
      </c>
      <c r="C58" s="81">
        <f>ROUND((7.55/2.2075),2)</f>
        <v>3.42</v>
      </c>
      <c r="D58" s="409" t="s">
        <v>484</v>
      </c>
      <c r="E58" s="405" t="s">
        <v>242</v>
      </c>
      <c r="F58" s="82"/>
    </row>
    <row r="59" spans="1:6">
      <c r="A59" s="408" t="s">
        <v>153</v>
      </c>
      <c r="B59" s="83" t="s">
        <v>30</v>
      </c>
      <c r="C59" s="81">
        <v>11.55</v>
      </c>
      <c r="D59" s="409" t="s">
        <v>14</v>
      </c>
      <c r="E59" s="405" t="s">
        <v>242</v>
      </c>
      <c r="F59" s="82"/>
    </row>
    <row r="60" spans="1:6">
      <c r="A60" s="408" t="s">
        <v>164</v>
      </c>
      <c r="B60" s="83" t="s">
        <v>30</v>
      </c>
      <c r="C60" s="81">
        <v>2.5</v>
      </c>
      <c r="D60" s="409" t="s">
        <v>15</v>
      </c>
      <c r="E60" s="405" t="s">
        <v>242</v>
      </c>
      <c r="F60" s="82"/>
    </row>
    <row r="61" spans="1:6">
      <c r="A61" s="408" t="s">
        <v>54</v>
      </c>
      <c r="B61" s="83" t="s">
        <v>30</v>
      </c>
      <c r="C61" s="81">
        <v>60</v>
      </c>
      <c r="D61" s="409" t="s">
        <v>322</v>
      </c>
      <c r="E61" s="405" t="s">
        <v>242</v>
      </c>
      <c r="F61" s="82"/>
    </row>
    <row r="62" spans="1:6">
      <c r="A62" s="408" t="s">
        <v>149</v>
      </c>
      <c r="B62" s="83" t="s">
        <v>30</v>
      </c>
      <c r="C62" s="81">
        <v>75.42</v>
      </c>
      <c r="D62" s="409" t="s">
        <v>16</v>
      </c>
      <c r="E62" s="405" t="s">
        <v>242</v>
      </c>
      <c r="F62" s="82"/>
    </row>
    <row r="63" spans="1:6">
      <c r="A63" s="408" t="s">
        <v>147</v>
      </c>
      <c r="B63" s="83" t="s">
        <v>30</v>
      </c>
      <c r="C63" s="81">
        <v>0.8</v>
      </c>
      <c r="D63" s="409" t="s">
        <v>17</v>
      </c>
      <c r="E63" s="405" t="s">
        <v>242</v>
      </c>
      <c r="F63" s="82"/>
    </row>
    <row r="64" spans="1:6">
      <c r="A64" s="408" t="s">
        <v>150</v>
      </c>
      <c r="B64" s="83" t="s">
        <v>30</v>
      </c>
      <c r="C64" s="81">
        <v>7.38</v>
      </c>
      <c r="D64" s="409" t="s">
        <v>18</v>
      </c>
      <c r="E64" s="405" t="s">
        <v>242</v>
      </c>
      <c r="F64" s="82"/>
    </row>
    <row r="65" spans="1:6">
      <c r="A65" s="408" t="s">
        <v>53</v>
      </c>
      <c r="B65" s="83" t="s">
        <v>30</v>
      </c>
      <c r="C65" s="81">
        <v>48.9</v>
      </c>
      <c r="D65" s="409" t="s">
        <v>19</v>
      </c>
      <c r="E65" s="405" t="s">
        <v>242</v>
      </c>
      <c r="F65" s="82"/>
    </row>
    <row r="66" spans="1:6">
      <c r="A66" s="408" t="s">
        <v>154</v>
      </c>
      <c r="B66" s="80" t="s">
        <v>213</v>
      </c>
      <c r="C66" s="81">
        <v>450</v>
      </c>
      <c r="D66" s="409" t="s">
        <v>20</v>
      </c>
      <c r="E66" s="405" t="s">
        <v>242</v>
      </c>
      <c r="F66" s="82"/>
    </row>
    <row r="67" spans="1:6">
      <c r="A67" s="408" t="s">
        <v>165</v>
      </c>
      <c r="B67" s="83" t="s">
        <v>146</v>
      </c>
      <c r="C67" s="81">
        <v>12.88</v>
      </c>
      <c r="D67" s="409" t="s">
        <v>21</v>
      </c>
      <c r="E67" s="405" t="s">
        <v>242</v>
      </c>
      <c r="F67" s="82"/>
    </row>
    <row r="68" spans="1:6">
      <c r="A68" s="408" t="s">
        <v>472</v>
      </c>
      <c r="B68" s="83" t="s">
        <v>473</v>
      </c>
      <c r="C68" s="81">
        <v>69.260000000000005</v>
      </c>
      <c r="D68" s="409" t="s">
        <v>474</v>
      </c>
      <c r="E68" s="405" t="s">
        <v>242</v>
      </c>
      <c r="F68" s="82"/>
    </row>
    <row r="69" spans="1:6">
      <c r="A69" s="408" t="s">
        <v>162</v>
      </c>
      <c r="B69" s="83" t="s">
        <v>30</v>
      </c>
      <c r="C69" s="81">
        <v>6.8</v>
      </c>
      <c r="D69" s="409" t="s">
        <v>22</v>
      </c>
      <c r="E69" s="405" t="s">
        <v>242</v>
      </c>
      <c r="F69" s="82"/>
    </row>
    <row r="70" spans="1:6">
      <c r="A70" s="408" t="s">
        <v>151</v>
      </c>
      <c r="B70" s="83" t="s">
        <v>30</v>
      </c>
      <c r="C70" s="81">
        <v>12.88</v>
      </c>
      <c r="D70" s="409" t="s">
        <v>24</v>
      </c>
      <c r="E70" s="405" t="s">
        <v>242</v>
      </c>
      <c r="F70" s="82"/>
    </row>
    <row r="71" spans="1:6">
      <c r="A71" s="408" t="s">
        <v>349</v>
      </c>
      <c r="B71" s="83" t="s">
        <v>30</v>
      </c>
      <c r="C71" s="81">
        <v>6.9</v>
      </c>
      <c r="D71" s="409" t="s">
        <v>23</v>
      </c>
      <c r="E71" s="405" t="s">
        <v>242</v>
      </c>
      <c r="F71" s="82"/>
    </row>
    <row r="72" spans="1:6">
      <c r="A72" s="408" t="s">
        <v>134</v>
      </c>
      <c r="B72" s="83" t="s">
        <v>87</v>
      </c>
      <c r="C72" s="81">
        <v>1.74</v>
      </c>
      <c r="D72" s="409" t="s">
        <v>26</v>
      </c>
      <c r="E72" s="405" t="s">
        <v>242</v>
      </c>
      <c r="F72" s="82"/>
    </row>
    <row r="73" spans="1:6">
      <c r="A73" s="408" t="s">
        <v>160</v>
      </c>
      <c r="B73" s="83" t="s">
        <v>30</v>
      </c>
      <c r="C73" s="81">
        <v>4.5599999999999996</v>
      </c>
      <c r="D73" s="409" t="s">
        <v>27</v>
      </c>
      <c r="E73" s="405" t="s">
        <v>242</v>
      </c>
      <c r="F73" s="82"/>
    </row>
    <row r="74" spans="1:6">
      <c r="A74" s="408" t="s">
        <v>135</v>
      </c>
      <c r="B74" s="83" t="s">
        <v>87</v>
      </c>
      <c r="C74" s="81">
        <v>8.0399999999999991</v>
      </c>
      <c r="D74" s="409" t="s">
        <v>25</v>
      </c>
      <c r="E74" s="405" t="s">
        <v>242</v>
      </c>
      <c r="F74" s="82"/>
    </row>
    <row r="75" spans="1:6">
      <c r="A75" s="408" t="s">
        <v>136</v>
      </c>
      <c r="B75" s="83" t="s">
        <v>87</v>
      </c>
      <c r="C75" s="81">
        <v>2.78</v>
      </c>
      <c r="D75" s="409" t="s">
        <v>28</v>
      </c>
      <c r="E75" s="405" t="s">
        <v>242</v>
      </c>
      <c r="F75" s="82"/>
    </row>
    <row r="76" spans="1:6">
      <c r="A76" s="426" t="s">
        <v>137</v>
      </c>
      <c r="B76" s="83" t="s">
        <v>87</v>
      </c>
      <c r="C76" s="81">
        <v>5.26</v>
      </c>
      <c r="D76" s="409" t="s">
        <v>29</v>
      </c>
      <c r="E76" s="405" t="s">
        <v>242</v>
      </c>
      <c r="F76" s="82"/>
    </row>
    <row r="77" spans="1:6" ht="30">
      <c r="A77" s="427" t="s">
        <v>434</v>
      </c>
      <c r="B77" s="428" t="s">
        <v>30</v>
      </c>
      <c r="C77" s="81">
        <v>70.11</v>
      </c>
      <c r="D77" s="409" t="s">
        <v>475</v>
      </c>
      <c r="E77" s="405" t="s">
        <v>242</v>
      </c>
      <c r="F77" s="82"/>
    </row>
    <row r="78" spans="1:6">
      <c r="A78" s="429" t="s">
        <v>152</v>
      </c>
      <c r="B78" s="83" t="s">
        <v>30</v>
      </c>
      <c r="C78" s="81">
        <v>1.81</v>
      </c>
      <c r="D78" s="409" t="s">
        <v>46</v>
      </c>
      <c r="E78" s="405" t="s">
        <v>242</v>
      </c>
      <c r="F78" s="82"/>
    </row>
    <row r="79" spans="1:6" ht="15.75" customHeight="1" thickBot="1">
      <c r="A79" s="412" t="s">
        <v>127</v>
      </c>
      <c r="B79" s="413" t="s">
        <v>30</v>
      </c>
      <c r="C79" s="414">
        <v>86</v>
      </c>
      <c r="D79" s="415" t="s">
        <v>47</v>
      </c>
      <c r="E79" s="405" t="s">
        <v>242</v>
      </c>
      <c r="F79" s="82"/>
    </row>
  </sheetData>
  <autoFilter ref="A2:F79">
    <filterColumn colId="3">
      <customFilters and="1">
        <customFilter operator="notEqual" val=" "/>
      </customFilters>
    </filterColumn>
  </autoFilter>
  <sortState ref="A3:E122">
    <sortCondition ref="A2"/>
  </sortState>
  <mergeCells count="2">
    <mergeCell ref="A1:D1"/>
    <mergeCell ref="A43:D43"/>
  </mergeCells>
  <phoneticPr fontId="11" type="noConversion"/>
  <pageMargins left="1.1811023622047245" right="0.51181102362204722" top="1.1811023622047245" bottom="0.78740157480314965" header="0.51181102362204722" footer="0.51181102362204722"/>
  <pageSetup paperSize="9" scale="99" firstPageNumber="0" orientation="portrait" horizontalDpi="300" verticalDpi="300" r:id="rId1"/>
  <headerFooter alignWithMargins="0"/>
  <rowBreaks count="1" manualBreakCount="1">
    <brk id="42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E19" sqref="E19"/>
    </sheetView>
  </sheetViews>
  <sheetFormatPr defaultRowHeight="12.75"/>
  <cols>
    <col min="1" max="1" width="5.42578125" customWidth="1"/>
    <col min="2" max="2" width="55" customWidth="1"/>
    <col min="4" max="4" width="19" customWidth="1"/>
    <col min="5" max="5" width="23.85546875" customWidth="1"/>
    <col min="6" max="6" width="23.28515625" customWidth="1"/>
    <col min="7" max="7" width="15.140625" customWidth="1"/>
  </cols>
  <sheetData>
    <row r="1" spans="1:7" ht="15.75">
      <c r="A1" s="699" t="s">
        <v>439</v>
      </c>
      <c r="B1" s="700"/>
      <c r="C1" s="700"/>
      <c r="D1" s="700"/>
      <c r="E1" s="700"/>
      <c r="F1" s="700"/>
      <c r="G1" s="701"/>
    </row>
    <row r="2" spans="1:7" ht="31.5">
      <c r="A2" s="313" t="s">
        <v>225</v>
      </c>
      <c r="B2" s="313" t="s">
        <v>440</v>
      </c>
      <c r="C2" s="314" t="s">
        <v>441</v>
      </c>
      <c r="D2" s="314" t="s">
        <v>442</v>
      </c>
      <c r="E2" s="314" t="s">
        <v>443</v>
      </c>
      <c r="F2" s="314" t="s">
        <v>444</v>
      </c>
      <c r="G2" s="314" t="s">
        <v>445</v>
      </c>
    </row>
    <row r="3" spans="1:7" ht="15.75">
      <c r="A3" s="315">
        <v>1</v>
      </c>
      <c r="B3" s="316" t="s">
        <v>446</v>
      </c>
      <c r="C3" s="317" t="s">
        <v>441</v>
      </c>
      <c r="D3" s="318">
        <v>4.2</v>
      </c>
      <c r="E3" s="318">
        <v>4.5</v>
      </c>
      <c r="F3" s="318">
        <v>4.3499999999999996</v>
      </c>
      <c r="G3" s="319">
        <f>MIN(D3:F3)</f>
        <v>4.2</v>
      </c>
    </row>
    <row r="4" spans="1:7" ht="15.75">
      <c r="A4" s="325">
        <v>2</v>
      </c>
      <c r="B4" s="326" t="s">
        <v>447</v>
      </c>
      <c r="C4" s="327" t="s">
        <v>441</v>
      </c>
      <c r="D4" s="328">
        <v>7.18</v>
      </c>
      <c r="E4" s="328">
        <v>8.1</v>
      </c>
      <c r="F4" s="328">
        <v>8</v>
      </c>
      <c r="G4" s="329">
        <f t="shared" ref="G4" si="0">MIN(D4:F4)</f>
        <v>7.18</v>
      </c>
    </row>
    <row r="5" spans="1:7" ht="15.75">
      <c r="A5" s="346"/>
      <c r="B5" s="332"/>
      <c r="C5" s="333"/>
      <c r="D5" s="321"/>
      <c r="E5" s="321"/>
      <c r="F5" s="321"/>
      <c r="G5" s="347"/>
    </row>
    <row r="6" spans="1:7" ht="31.5">
      <c r="A6" s="330" t="s">
        <v>225</v>
      </c>
      <c r="B6" s="330" t="s">
        <v>440</v>
      </c>
      <c r="C6" s="331" t="s">
        <v>441</v>
      </c>
      <c r="D6" s="331" t="s">
        <v>449</v>
      </c>
      <c r="E6" s="331" t="s">
        <v>450</v>
      </c>
      <c r="F6" s="331" t="s">
        <v>451</v>
      </c>
      <c r="G6" s="331" t="s">
        <v>445</v>
      </c>
    </row>
    <row r="7" spans="1:7" ht="15.75">
      <c r="A7" s="324">
        <v>1</v>
      </c>
      <c r="B7" s="316" t="s">
        <v>452</v>
      </c>
      <c r="C7" s="317" t="s">
        <v>441</v>
      </c>
      <c r="D7" s="318">
        <v>38.4</v>
      </c>
      <c r="E7" s="318">
        <v>35.9</v>
      </c>
      <c r="F7" s="318">
        <v>36.700000000000003</v>
      </c>
      <c r="G7" s="319">
        <f>MIN(D7:F7)</f>
        <v>35.9</v>
      </c>
    </row>
    <row r="8" spans="1:7" ht="15.75">
      <c r="A8" s="315">
        <v>2</v>
      </c>
      <c r="B8" s="316" t="s">
        <v>453</v>
      </c>
      <c r="C8" s="317" t="s">
        <v>441</v>
      </c>
      <c r="D8" s="318">
        <v>74</v>
      </c>
      <c r="E8" s="318">
        <v>70.3</v>
      </c>
      <c r="F8" s="318">
        <v>72.75</v>
      </c>
      <c r="G8" s="319">
        <f>MIN(D8:F8)</f>
        <v>70.3</v>
      </c>
    </row>
    <row r="9" spans="1:7">
      <c r="A9" s="348"/>
      <c r="B9" s="85"/>
      <c r="C9" s="85"/>
      <c r="D9" s="85"/>
      <c r="E9" s="85"/>
      <c r="F9" s="85"/>
      <c r="G9" s="349"/>
    </row>
    <row r="10" spans="1:7" ht="31.5">
      <c r="A10" s="313" t="s">
        <v>225</v>
      </c>
      <c r="B10" s="313" t="s">
        <v>440</v>
      </c>
      <c r="C10" s="314" t="s">
        <v>441</v>
      </c>
      <c r="D10" s="314" t="s">
        <v>456</v>
      </c>
      <c r="E10" s="314" t="s">
        <v>450</v>
      </c>
      <c r="F10" s="314" t="s">
        <v>457</v>
      </c>
      <c r="G10" s="314" t="s">
        <v>445</v>
      </c>
    </row>
    <row r="11" spans="1:7" ht="31.5">
      <c r="A11" s="315">
        <v>1</v>
      </c>
      <c r="B11" s="322" t="s">
        <v>458</v>
      </c>
      <c r="C11" s="317" t="s">
        <v>441</v>
      </c>
      <c r="D11" s="318">
        <v>12.9</v>
      </c>
      <c r="E11" s="318">
        <v>11.8</v>
      </c>
      <c r="F11" s="318">
        <v>12.75</v>
      </c>
      <c r="G11" s="319">
        <f>MIN(D11:F11)</f>
        <v>11.8</v>
      </c>
    </row>
    <row r="12" spans="1:7">
      <c r="A12" s="348"/>
      <c r="B12" s="85"/>
      <c r="C12" s="85"/>
      <c r="D12" s="85"/>
      <c r="E12" s="85"/>
      <c r="F12" s="85"/>
      <c r="G12" s="349"/>
    </row>
    <row r="13" spans="1:7">
      <c r="A13" s="348"/>
      <c r="B13" s="85"/>
      <c r="C13" s="85"/>
      <c r="D13" s="85"/>
      <c r="E13" s="85"/>
      <c r="F13" s="85"/>
      <c r="G13" s="349"/>
    </row>
    <row r="14" spans="1:7" ht="31.5">
      <c r="A14" s="313" t="s">
        <v>225</v>
      </c>
      <c r="B14" s="313" t="s">
        <v>440</v>
      </c>
      <c r="C14" s="317"/>
      <c r="D14" s="314" t="s">
        <v>460</v>
      </c>
      <c r="E14" s="314" t="s">
        <v>450</v>
      </c>
      <c r="F14" s="314" t="s">
        <v>451</v>
      </c>
      <c r="G14" s="314" t="s">
        <v>445</v>
      </c>
    </row>
    <row r="15" spans="1:7" ht="47.25">
      <c r="A15" s="315">
        <v>1</v>
      </c>
      <c r="B15" s="334" t="s">
        <v>461</v>
      </c>
      <c r="C15" s="317" t="s">
        <v>441</v>
      </c>
      <c r="D15" s="318">
        <v>2.9</v>
      </c>
      <c r="E15" s="318">
        <v>2.6</v>
      </c>
      <c r="F15" s="318">
        <v>2.8</v>
      </c>
      <c r="G15" s="319">
        <f>MIN(D15:F15)</f>
        <v>2.6</v>
      </c>
    </row>
    <row r="16" spans="1:7" ht="47.25">
      <c r="A16" s="315">
        <f>A15+1</f>
        <v>2</v>
      </c>
      <c r="B16" s="334" t="s">
        <v>462</v>
      </c>
      <c r="C16" s="317" t="s">
        <v>441</v>
      </c>
      <c r="D16" s="318">
        <v>3.5</v>
      </c>
      <c r="E16" s="318">
        <v>3.1</v>
      </c>
      <c r="F16" s="318">
        <v>3.4</v>
      </c>
      <c r="G16" s="319">
        <f>MIN(D16:F16)</f>
        <v>3.1</v>
      </c>
    </row>
    <row r="17" spans="1:7">
      <c r="A17" s="348"/>
      <c r="B17" s="85"/>
      <c r="C17" s="85"/>
      <c r="D17" s="85"/>
      <c r="E17" s="85"/>
      <c r="F17" s="85"/>
      <c r="G17" s="349"/>
    </row>
    <row r="18" spans="1:7" ht="31.5">
      <c r="A18" s="313" t="s">
        <v>225</v>
      </c>
      <c r="B18" s="313" t="s">
        <v>440</v>
      </c>
      <c r="C18" s="314" t="s">
        <v>441</v>
      </c>
      <c r="D18" s="314" t="s">
        <v>442</v>
      </c>
      <c r="E18" s="314" t="s">
        <v>443</v>
      </c>
      <c r="F18" s="314" t="s">
        <v>463</v>
      </c>
      <c r="G18" s="314" t="s">
        <v>445</v>
      </c>
    </row>
    <row r="19" spans="1:7" ht="31.5">
      <c r="A19" s="324">
        <v>1</v>
      </c>
      <c r="B19" s="335" t="s">
        <v>464</v>
      </c>
      <c r="C19" s="336" t="s">
        <v>441</v>
      </c>
      <c r="D19" s="320">
        <v>990</v>
      </c>
      <c r="E19" s="320">
        <v>880</v>
      </c>
      <c r="F19" s="320">
        <v>840</v>
      </c>
      <c r="G19" s="337">
        <f>MIN(D19:F19)</f>
        <v>840</v>
      </c>
    </row>
    <row r="20" spans="1:7" ht="31.5">
      <c r="A20" s="324">
        <f>A19+1</f>
        <v>2</v>
      </c>
      <c r="B20" s="335" t="s">
        <v>465</v>
      </c>
      <c r="C20" s="336" t="s">
        <v>441</v>
      </c>
      <c r="D20" s="320">
        <v>11620</v>
      </c>
      <c r="E20" s="320">
        <v>10850.3</v>
      </c>
      <c r="F20" s="320">
        <v>11350.4</v>
      </c>
      <c r="G20" s="337">
        <f>MIN(D20:F20)</f>
        <v>10850.3</v>
      </c>
    </row>
    <row r="21" spans="1:7" ht="15.75">
      <c r="A21" s="324">
        <f>A20+1</f>
        <v>3</v>
      </c>
      <c r="B21" s="338" t="s">
        <v>466</v>
      </c>
      <c r="C21" s="336" t="s">
        <v>441</v>
      </c>
      <c r="D21" s="320">
        <v>158</v>
      </c>
      <c r="E21" s="320">
        <v>163</v>
      </c>
      <c r="F21" s="320">
        <v>168</v>
      </c>
      <c r="G21" s="337">
        <f>MIN(D21:F21)</f>
        <v>158</v>
      </c>
    </row>
    <row r="22" spans="1:7">
      <c r="A22" s="348"/>
      <c r="B22" s="85"/>
      <c r="C22" s="85"/>
      <c r="D22" s="85"/>
      <c r="E22" s="85"/>
      <c r="F22" s="85"/>
      <c r="G22" s="349"/>
    </row>
    <row r="23" spans="1:7" ht="31.5">
      <c r="A23" s="313" t="s">
        <v>225</v>
      </c>
      <c r="B23" s="313" t="s">
        <v>440</v>
      </c>
      <c r="C23" s="314" t="s">
        <v>441</v>
      </c>
      <c r="D23" s="314" t="s">
        <v>467</v>
      </c>
      <c r="E23" s="314" t="s">
        <v>468</v>
      </c>
      <c r="F23" s="314" t="s">
        <v>469</v>
      </c>
      <c r="G23" s="314" t="s">
        <v>445</v>
      </c>
    </row>
    <row r="24" spans="1:7" ht="15.75">
      <c r="A24" s="315">
        <v>1</v>
      </c>
      <c r="B24" s="323" t="s">
        <v>448</v>
      </c>
      <c r="C24" s="317" t="s">
        <v>441</v>
      </c>
      <c r="D24" s="318">
        <v>3.9</v>
      </c>
      <c r="E24" s="318">
        <v>12.75</v>
      </c>
      <c r="F24" s="318">
        <v>3.9</v>
      </c>
      <c r="G24" s="319">
        <v>3.9</v>
      </c>
    </row>
  </sheetData>
  <mergeCells count="1">
    <mergeCell ref="A1:G1"/>
  </mergeCells>
  <printOptions horizontalCentered="1"/>
  <pageMargins left="0.51181102362204722" right="0.51181102362204722" top="1.3779527559055118" bottom="0.59055118110236227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7</vt:i4>
      </vt:variant>
    </vt:vector>
  </HeadingPairs>
  <TitlesOfParts>
    <vt:vector size="17" baseType="lpstr">
      <vt:lpstr>Serviços</vt:lpstr>
      <vt:lpstr>Materiais</vt:lpstr>
      <vt:lpstr>C.P.U.</vt:lpstr>
      <vt:lpstr>veículos</vt:lpstr>
      <vt:lpstr>BDI - SERVIÇOS</vt:lpstr>
      <vt:lpstr>BDI - MATERIAIS</vt:lpstr>
      <vt:lpstr>Enc. Soc.</vt:lpstr>
      <vt:lpstr>INSUMOS - SINAPI</vt:lpstr>
      <vt:lpstr>Insumos cotação</vt:lpstr>
      <vt:lpstr>Memória de quantitativos</vt:lpstr>
      <vt:lpstr>C.P.U.!Area_de_impressao</vt:lpstr>
      <vt:lpstr>'INSUMOS - SINAPI'!Area_de_impressao</vt:lpstr>
      <vt:lpstr>Materiais!Area_de_impressao</vt:lpstr>
      <vt:lpstr>Serviços!Area_de_impressao</vt:lpstr>
      <vt:lpstr>veículos!Area_de_impressao</vt:lpstr>
      <vt:lpstr>Excel_BuiltIn__FilterDatabase_2</vt:lpstr>
      <vt:lpstr>Serviços!Titulos_de_impressao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Oliveira Nunes</dc:creator>
  <cp:lastModifiedBy>Douglas Oliveira Nunes</cp:lastModifiedBy>
  <cp:lastPrinted>2013-09-12T19:30:58Z</cp:lastPrinted>
  <dcterms:created xsi:type="dcterms:W3CDTF">2011-02-09T14:55:14Z</dcterms:created>
  <dcterms:modified xsi:type="dcterms:W3CDTF">2013-09-12T19:32:01Z</dcterms:modified>
</cp:coreProperties>
</file>