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7755" tabRatio="689"/>
  </bookViews>
  <sheets>
    <sheet name="Planilha Orçamentária" sheetId="10" r:id="rId1"/>
    <sheet name="CPU POÇOS" sheetId="2" r:id="rId2"/>
    <sheet name="INSUMOS" sheetId="5" r:id="rId3"/>
    <sheet name="Veiculo" sheetId="8" r:id="rId4"/>
    <sheet name="Veículo Fiscalização" sheetId="7" r:id="rId5"/>
    <sheet name="BDI" sheetId="14" r:id="rId6"/>
  </sheets>
  <externalReferences>
    <externalReference r:id="rId7"/>
    <externalReference r:id="rId8"/>
    <externalReference r:id="rId9"/>
  </externalReferences>
  <definedNames>
    <definedName name="_aga14" localSheetId="0">[1]Insumos!#REF!</definedName>
    <definedName name="_aga14">[1]Insumos!#REF!</definedName>
    <definedName name="_aga16" localSheetId="0">[1]Insumos!#REF!</definedName>
    <definedName name="_aga16">[1]Insumos!#REF!</definedName>
    <definedName name="_asc321" localSheetId="0">[1]Insumos!#REF!</definedName>
    <definedName name="_asc321">[1]Insumos!#REF!</definedName>
    <definedName name="_bur3220" localSheetId="0">[1]Insumos!#REF!</definedName>
    <definedName name="_bur3220">[1]Insumos!#REF!</definedName>
    <definedName name="_cap20" localSheetId="0">[1]Insumos!#REF!</definedName>
    <definedName name="_cap20">[1]Insumos!#REF!</definedName>
    <definedName name="_ccr12" localSheetId="0">[1]Insumos!#REF!</definedName>
    <definedName name="_ccr12">[1]Insumos!#REF!</definedName>
    <definedName name="_cva32" localSheetId="0">[1]Insumos!#REF!</definedName>
    <definedName name="_cva32">[1]Insumos!#REF!</definedName>
    <definedName name="_cva50" localSheetId="0">[1]Insumos!#REF!</definedName>
    <definedName name="_cva50">[1]Insumos!#REF!</definedName>
    <definedName name="_cva60" localSheetId="0">[1]Insumos!#REF!</definedName>
    <definedName name="_cva60">[1]Insumos!#REF!</definedName>
    <definedName name="_cve45100" localSheetId="0">[1]Insumos!#REF!</definedName>
    <definedName name="_cve45100">[1]Insumos!#REF!</definedName>
    <definedName name="_cve90100" localSheetId="0">[1]Insumos!#REF!</definedName>
    <definedName name="_cve90100">[1]Insumos!#REF!</definedName>
    <definedName name="_cve9040" localSheetId="0">[1]Insumos!#REF!</definedName>
    <definedName name="_cve9040">[1]Insumos!#REF!</definedName>
    <definedName name="_djm10" localSheetId="0">[1]Insumos!#REF!</definedName>
    <definedName name="_djm10">[1]Insumos!#REF!</definedName>
    <definedName name="_djm15" localSheetId="0">[1]Insumos!#REF!</definedName>
    <definedName name="_djm15">[1]Insumos!#REF!</definedName>
    <definedName name="_epl2" localSheetId="0">[1]Insumos!#REF!</definedName>
    <definedName name="_epl2">[1]Insumos!#REF!</definedName>
    <definedName name="_epl5" localSheetId="0">[1]Insumos!#REF!</definedName>
    <definedName name="_epl5">[1]Insumos!#REF!</definedName>
    <definedName name="_est15" localSheetId="0">[1]Insumos!#REF!</definedName>
    <definedName name="_est15">[1]Insumos!#REF!</definedName>
    <definedName name="_fil1" localSheetId="0">[1]Insumos!#REF!</definedName>
    <definedName name="_fil1">[1]Insumos!#REF!</definedName>
    <definedName name="_fil2" localSheetId="0">[1]Insumos!#REF!</definedName>
    <definedName name="_fil2">[1]Insumos!#REF!</definedName>
    <definedName name="_xlnm._FilterDatabase" localSheetId="2" hidden="1">INSUMOS!$A$10:$G$153</definedName>
    <definedName name="_fio12" localSheetId="0">[1]Insumos!#REF!</definedName>
    <definedName name="_fio12">[1]Insumos!#REF!</definedName>
    <definedName name="_fis5" localSheetId="0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POÇOS'!$B$1:$I$1704</definedName>
    <definedName name="_xlnm.Print_Area" localSheetId="2">INSUMOS!$B$2:$F$153</definedName>
    <definedName name="_xlnm.Print_Area" localSheetId="0">'Planilha Orçamentária'!$B$2:$H$111</definedName>
    <definedName name="_xlnm.Print_Area" localSheetId="3">Veiculo!$A$1:$E$56</definedName>
    <definedName name="_xlnm.Print_Area" localSheetId="4">'Veículo Fiscalização'!$A$1:$D$46</definedName>
    <definedName name="B320I">#REF!</definedName>
    <definedName name="B320P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3">[1]CPU!#REF!</definedName>
    <definedName name="Excel_BuiltIn_Print_Area_5">[3]CPU!#REF!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('Planilha Orçamentária'!$B:$H,'Planilha Orçamentária'!$2:$19)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25725" fullPrecision="0"/>
</workbook>
</file>

<file path=xl/calcChain.xml><?xml version="1.0" encoding="utf-8"?>
<calcChain xmlns="http://schemas.openxmlformats.org/spreadsheetml/2006/main">
  <c r="L11" i="10"/>
  <c r="E25" i="5" l="1"/>
  <c r="E12"/>
  <c r="E11"/>
  <c r="E34" i="14" l="1"/>
  <c r="C36"/>
  <c r="E32"/>
  <c r="J24"/>
  <c r="J22"/>
  <c r="J20"/>
  <c r="E16"/>
  <c r="G13" i="10" l="1"/>
  <c r="F47"/>
  <c r="F23" l="1"/>
  <c r="E53" i="5" l="1"/>
  <c r="H1529" i="2" s="1"/>
  <c r="H278"/>
  <c r="H243"/>
  <c r="H244"/>
  <c r="H208"/>
  <c r="E6" i="5"/>
  <c r="H144" i="2"/>
  <c r="E6"/>
  <c r="E6" i="8"/>
  <c r="E6" i="7"/>
  <c r="E13" i="10" l="1"/>
  <c r="F72" s="1"/>
  <c r="F13"/>
  <c r="F30" i="14"/>
  <c r="G30" s="1"/>
  <c r="J29"/>
  <c r="E25"/>
  <c r="F25" s="1"/>
  <c r="G25" s="1"/>
  <c r="D20"/>
  <c r="F28" l="1"/>
  <c r="F26"/>
  <c r="F27"/>
  <c r="J16"/>
  <c r="G16"/>
  <c r="F17" l="1"/>
  <c r="F18"/>
  <c r="F32" l="1"/>
  <c r="G32" s="1"/>
  <c r="E23"/>
  <c r="F23" s="1"/>
  <c r="E22"/>
  <c r="F22" s="1"/>
  <c r="E21"/>
  <c r="F16"/>
  <c r="F21" l="1"/>
  <c r="E20"/>
  <c r="F20" l="1"/>
  <c r="G20"/>
  <c r="G34" s="1"/>
  <c r="G35" s="1"/>
  <c r="C1699" i="2" l="1"/>
  <c r="C1666"/>
  <c r="C1634"/>
  <c r="C1586"/>
  <c r="C1544"/>
  <c r="C1507"/>
  <c r="C1476"/>
  <c r="C1433"/>
  <c r="C1400"/>
  <c r="C1359"/>
  <c r="C1329"/>
  <c r="C1292"/>
  <c r="C1255"/>
  <c r="C1224"/>
  <c r="C1193"/>
  <c r="C1155"/>
  <c r="C1118"/>
  <c r="C1082"/>
  <c r="C1048"/>
  <c r="C1018"/>
  <c r="C987"/>
  <c r="C937"/>
  <c r="C905"/>
  <c r="C876"/>
  <c r="C844"/>
  <c r="C814"/>
  <c r="C784"/>
  <c r="C752"/>
  <c r="C719"/>
  <c r="C687"/>
  <c r="C655"/>
  <c r="C621"/>
  <c r="C583"/>
  <c r="C553"/>
  <c r="C521"/>
  <c r="C489"/>
  <c r="C455"/>
  <c r="C422"/>
  <c r="C391"/>
  <c r="C359"/>
  <c r="C327"/>
  <c r="C294"/>
  <c r="C259"/>
  <c r="C223"/>
  <c r="C189"/>
  <c r="C158"/>
  <c r="C126"/>
  <c r="C91"/>
  <c r="C57"/>
  <c r="C25"/>
  <c r="C1637"/>
  <c r="C100"/>
  <c r="C65"/>
  <c r="C34"/>
  <c r="C2"/>
  <c r="E124" i="5"/>
  <c r="E96"/>
  <c r="E56"/>
  <c r="H1072" i="2"/>
  <c r="H927"/>
  <c r="I927" s="1"/>
  <c r="H511"/>
  <c r="E30" i="5" l="1"/>
  <c r="E29"/>
  <c r="E28"/>
  <c r="E27"/>
  <c r="E26"/>
  <c r="E24"/>
  <c r="E23"/>
  <c r="E22"/>
  <c r="E21"/>
  <c r="E20"/>
  <c r="E19"/>
  <c r="E18"/>
  <c r="E17"/>
  <c r="E16"/>
  <c r="E15"/>
  <c r="E14"/>
  <c r="E13"/>
  <c r="F95" i="10"/>
  <c r="F64"/>
  <c r="F69" s="1"/>
  <c r="F70" s="1"/>
  <c r="F65"/>
  <c r="F77" s="1"/>
  <c r="F78" s="1"/>
  <c r="F79" s="1"/>
  <c r="F66"/>
  <c r="F67"/>
  <c r="F71"/>
  <c r="F73"/>
  <c r="F74"/>
  <c r="F75"/>
  <c r="F76"/>
  <c r="F81"/>
  <c r="F86" s="1"/>
  <c r="F87" s="1"/>
  <c r="F82"/>
  <c r="F83"/>
  <c r="F84"/>
  <c r="F88"/>
  <c r="F89"/>
  <c r="F90"/>
  <c r="F91"/>
  <c r="F92"/>
  <c r="F93"/>
  <c r="F31"/>
  <c r="F68" l="1"/>
  <c r="F85"/>
  <c r="F109"/>
  <c r="F108"/>
  <c r="F107"/>
  <c r="F106"/>
  <c r="F99"/>
  <c r="F100" s="1"/>
  <c r="F98"/>
  <c r="F97"/>
  <c r="F96"/>
  <c r="F111"/>
  <c r="F110"/>
  <c r="F105"/>
  <c r="F104"/>
  <c r="F103"/>
  <c r="F102"/>
  <c r="F101"/>
  <c r="E61" i="5"/>
  <c r="G1646" i="2" s="1"/>
  <c r="I1646" s="1"/>
  <c r="E100" i="5"/>
  <c r="G237" i="2" s="1"/>
  <c r="I237" s="1"/>
  <c r="F41" i="10"/>
  <c r="F28"/>
  <c r="D1282" i="2"/>
  <c r="C1514"/>
  <c r="H1103"/>
  <c r="I1103" s="1"/>
  <c r="H1102"/>
  <c r="I1102" s="1"/>
  <c r="H1276"/>
  <c r="H1528"/>
  <c r="I1528" s="1"/>
  <c r="D1458"/>
  <c r="H970"/>
  <c r="I970" s="1"/>
  <c r="H1104"/>
  <c r="I1104" s="1"/>
  <c r="C1674"/>
  <c r="C1641"/>
  <c r="C1593"/>
  <c r="C1552"/>
  <c r="C1409"/>
  <c r="C1299"/>
  <c r="C1164"/>
  <c r="C996"/>
  <c r="C591"/>
  <c r="C561"/>
  <c r="F40" i="10"/>
  <c r="C498" i="2"/>
  <c r="F38" i="10"/>
  <c r="C883" i="2"/>
  <c r="C852"/>
  <c r="C821"/>
  <c r="C791"/>
  <c r="C759"/>
  <c r="C727"/>
  <c r="C694"/>
  <c r="C662"/>
  <c r="C630"/>
  <c r="C367"/>
  <c r="C398"/>
  <c r="C529"/>
  <c r="C464"/>
  <c r="C430"/>
  <c r="C335"/>
  <c r="C302"/>
  <c r="C267"/>
  <c r="C232"/>
  <c r="C198"/>
  <c r="C167"/>
  <c r="C134"/>
  <c r="F62" i="10"/>
  <c r="F61"/>
  <c r="F60"/>
  <c r="F59"/>
  <c r="F58"/>
  <c r="F57"/>
  <c r="F56"/>
  <c r="F55"/>
  <c r="F53"/>
  <c r="F54" s="1"/>
  <c r="F51"/>
  <c r="F50"/>
  <c r="F52" s="1"/>
  <c r="F49"/>
  <c r="F48"/>
  <c r="F46"/>
  <c r="F45"/>
  <c r="F43"/>
  <c r="F44"/>
  <c r="F39"/>
  <c r="F37"/>
  <c r="F36"/>
  <c r="F35"/>
  <c r="F34"/>
  <c r="F33"/>
  <c r="F32"/>
  <c r="F30"/>
  <c r="F29"/>
  <c r="F27"/>
  <c r="H1575" i="2"/>
  <c r="I1575" s="1"/>
  <c r="H152"/>
  <c r="I152" s="1"/>
  <c r="H289"/>
  <c r="I289" s="1"/>
  <c r="G1031"/>
  <c r="I1031" s="1"/>
  <c r="I1032" s="1"/>
  <c r="H1567"/>
  <c r="I1567" s="1"/>
  <c r="H1380"/>
  <c r="I1380" s="1"/>
  <c r="H77"/>
  <c r="I77" s="1"/>
  <c r="H1527"/>
  <c r="I1527" s="1"/>
  <c r="H1684"/>
  <c r="I1684" s="1"/>
  <c r="H1561"/>
  <c r="I1561" s="1"/>
  <c r="H1379"/>
  <c r="I1379" s="1"/>
  <c r="H1564"/>
  <c r="I1564" s="1"/>
  <c r="H1376"/>
  <c r="I1376" s="1"/>
  <c r="H1615"/>
  <c r="I1615" s="1"/>
  <c r="H1175"/>
  <c r="I1175" s="1"/>
  <c r="H1174"/>
  <c r="I1174" s="1"/>
  <c r="H1173"/>
  <c r="I1173" s="1"/>
  <c r="H956"/>
  <c r="I956" s="1"/>
  <c r="H1603"/>
  <c r="I1603" s="1"/>
  <c r="H1609"/>
  <c r="I1609" s="1"/>
  <c r="H965"/>
  <c r="I965" s="1"/>
  <c r="H1612"/>
  <c r="I1612" s="1"/>
  <c r="H1619"/>
  <c r="I1619" s="1"/>
  <c r="H971"/>
  <c r="I971" s="1"/>
  <c r="H962"/>
  <c r="I962" s="1"/>
  <c r="G372"/>
  <c r="I372" s="1"/>
  <c r="I373" s="1"/>
  <c r="G39"/>
  <c r="I39" s="1"/>
  <c r="H768"/>
  <c r="I768" s="1"/>
  <c r="H441"/>
  <c r="I441" s="1"/>
  <c r="H738"/>
  <c r="I738" s="1"/>
  <c r="H439"/>
  <c r="I439" s="1"/>
  <c r="H1269"/>
  <c r="I1269" s="1"/>
  <c r="H1449"/>
  <c r="I1449" s="1"/>
  <c r="H74"/>
  <c r="I74" s="1"/>
  <c r="H1240"/>
  <c r="I1240" s="1"/>
  <c r="H1462"/>
  <c r="I1462" s="1"/>
  <c r="H1461"/>
  <c r="H1268"/>
  <c r="I1268" s="1"/>
  <c r="H1241"/>
  <c r="I1241" s="1"/>
  <c r="I1242" s="1"/>
  <c r="H1210"/>
  <c r="I1210" s="1"/>
  <c r="H607"/>
  <c r="I607" s="1"/>
  <c r="I1276"/>
  <c r="H1273"/>
  <c r="I1273" s="1"/>
  <c r="H1451"/>
  <c r="I1451" s="1"/>
  <c r="H1452"/>
  <c r="I1452" s="1"/>
  <c r="H1138"/>
  <c r="I1138" s="1"/>
  <c r="H1137"/>
  <c r="I1137" s="1"/>
  <c r="H1135"/>
  <c r="I1135" s="1"/>
  <c r="H1136"/>
  <c r="I1136" s="1"/>
  <c r="H1274"/>
  <c r="I1274" s="1"/>
  <c r="G1341"/>
  <c r="I1341" s="1"/>
  <c r="I1342" s="1"/>
  <c r="H1617"/>
  <c r="I1617" s="1"/>
  <c r="H475"/>
  <c r="I475" s="1"/>
  <c r="I1529"/>
  <c r="H966"/>
  <c r="I966" s="1"/>
  <c r="H1614"/>
  <c r="I1614" s="1"/>
  <c r="H963"/>
  <c r="I963" s="1"/>
  <c r="H959"/>
  <c r="I959" s="1"/>
  <c r="H1317"/>
  <c r="H601"/>
  <c r="I601" s="1"/>
  <c r="H1346"/>
  <c r="I1346" s="1"/>
  <c r="H830"/>
  <c r="I830" s="1"/>
  <c r="I831" s="1"/>
  <c r="H1308"/>
  <c r="H603"/>
  <c r="I603" s="1"/>
  <c r="H1311"/>
  <c r="I1311" s="1"/>
  <c r="H1140"/>
  <c r="I1140" s="1"/>
  <c r="H1101"/>
  <c r="I1101" s="1"/>
  <c r="H1067"/>
  <c r="I1067" s="1"/>
  <c r="H606"/>
  <c r="I606" s="1"/>
  <c r="H313"/>
  <c r="I313" s="1"/>
  <c r="H769"/>
  <c r="I769" s="1"/>
  <c r="H1659"/>
  <c r="I1659" s="1"/>
  <c r="H1394"/>
  <c r="I1394" s="1"/>
  <c r="H1391"/>
  <c r="I1391" s="1"/>
  <c r="H1390"/>
  <c r="I1390" s="1"/>
  <c r="H982"/>
  <c r="I982" s="1"/>
  <c r="H483"/>
  <c r="I483" s="1"/>
  <c r="H1693"/>
  <c r="I1693" s="1"/>
  <c r="H1218"/>
  <c r="I1218" s="1"/>
  <c r="H1323"/>
  <c r="H85"/>
  <c r="I85" s="1"/>
  <c r="H900"/>
  <c r="I900" s="1"/>
  <c r="H712"/>
  <c r="I712" s="1"/>
  <c r="H1694"/>
  <c r="I1694" s="1"/>
  <c r="I1695" s="1"/>
  <c r="I1696" s="1"/>
  <c r="H1076"/>
  <c r="I1076" s="1"/>
  <c r="H515"/>
  <c r="I515" s="1"/>
  <c r="D1324"/>
  <c r="D1323"/>
  <c r="D1319"/>
  <c r="D1318"/>
  <c r="D1316"/>
  <c r="D1308"/>
  <c r="D1315" s="1"/>
  <c r="I144"/>
  <c r="I145" s="1"/>
  <c r="I1489"/>
  <c r="I1490" s="1"/>
  <c r="I1493"/>
  <c r="I1494" s="1"/>
  <c r="I1497"/>
  <c r="I1498" s="1"/>
  <c r="K1353"/>
  <c r="K1351"/>
  <c r="I1350"/>
  <c r="I1351" s="1"/>
  <c r="K1318"/>
  <c r="L1318" s="1"/>
  <c r="D1317"/>
  <c r="G888"/>
  <c r="I888" s="1"/>
  <c r="I889" s="1"/>
  <c r="I381"/>
  <c r="I382" s="1"/>
  <c r="K1322"/>
  <c r="K1316"/>
  <c r="I1304"/>
  <c r="I1305" s="1"/>
  <c r="D1182"/>
  <c r="H1176"/>
  <c r="I1176" s="1"/>
  <c r="K1174"/>
  <c r="I1246"/>
  <c r="I1236"/>
  <c r="I1237" s="1"/>
  <c r="I1215"/>
  <c r="I1205"/>
  <c r="I1206" s="1"/>
  <c r="I1169"/>
  <c r="I1170" s="1"/>
  <c r="H1418"/>
  <c r="I1418" s="1"/>
  <c r="I1419" s="1"/>
  <c r="I1414"/>
  <c r="I1415" s="1"/>
  <c r="H1685"/>
  <c r="I1685" s="1"/>
  <c r="I1689"/>
  <c r="I1690" s="1"/>
  <c r="I1679"/>
  <c r="I1680" s="1"/>
  <c r="H1616"/>
  <c r="I1616" s="1"/>
  <c r="K1636"/>
  <c r="I1623"/>
  <c r="I1624" s="1"/>
  <c r="I1598"/>
  <c r="I1599" s="1"/>
  <c r="H968"/>
  <c r="I968" s="1"/>
  <c r="G1557"/>
  <c r="I1557" s="1"/>
  <c r="I1558" s="1"/>
  <c r="I1571"/>
  <c r="I1572" s="1"/>
  <c r="I412"/>
  <c r="I413" s="1"/>
  <c r="I896"/>
  <c r="I897" s="1"/>
  <c r="I892"/>
  <c r="I893" s="1"/>
  <c r="I866"/>
  <c r="I867" s="1"/>
  <c r="I834"/>
  <c r="I835" s="1"/>
  <c r="I826"/>
  <c r="I827" s="1"/>
  <c r="H800"/>
  <c r="I800" s="1"/>
  <c r="I801" s="1"/>
  <c r="I804"/>
  <c r="I805" s="1"/>
  <c r="I796"/>
  <c r="I797" s="1"/>
  <c r="I774"/>
  <c r="I775" s="1"/>
  <c r="I764"/>
  <c r="I765" s="1"/>
  <c r="H311"/>
  <c r="I311" s="1"/>
  <c r="H736"/>
  <c r="I736" s="1"/>
  <c r="I742"/>
  <c r="I743" s="1"/>
  <c r="I732"/>
  <c r="I733" s="1"/>
  <c r="I708"/>
  <c r="I709" s="1"/>
  <c r="I704"/>
  <c r="I705" s="1"/>
  <c r="I644"/>
  <c r="I645" s="1"/>
  <c r="I148"/>
  <c r="I149" s="1"/>
  <c r="G1647"/>
  <c r="I1647" s="1"/>
  <c r="I676"/>
  <c r="I677" s="1"/>
  <c r="I672"/>
  <c r="I673" s="1"/>
  <c r="I1655"/>
  <c r="I1656" s="1"/>
  <c r="I1651"/>
  <c r="I1652" s="1"/>
  <c r="D35" i="8"/>
  <c r="D27"/>
  <c r="D32" s="1"/>
  <c r="D40"/>
  <c r="D24"/>
  <c r="D10"/>
  <c r="D18" s="1"/>
  <c r="D29" i="7"/>
  <c r="D34" s="1"/>
  <c r="D22"/>
  <c r="D27" s="1"/>
  <c r="D20"/>
  <c r="D9"/>
  <c r="I479" i="2"/>
  <c r="I480" s="1"/>
  <c r="K607"/>
  <c r="K606"/>
  <c r="K605"/>
  <c r="I578"/>
  <c r="I579" s="1"/>
  <c r="I580" s="1"/>
  <c r="I1009"/>
  <c r="I1010" s="1"/>
  <c r="I173"/>
  <c r="I71"/>
  <c r="I12"/>
  <c r="I13" s="1"/>
  <c r="I44"/>
  <c r="I45" s="1"/>
  <c r="I48"/>
  <c r="I49" s="1"/>
  <c r="H109"/>
  <c r="I109" s="1"/>
  <c r="H110"/>
  <c r="I110" s="1"/>
  <c r="H111"/>
  <c r="I111" s="1"/>
  <c r="H112"/>
  <c r="I112" s="1"/>
  <c r="I116"/>
  <c r="I117" s="1"/>
  <c r="I81"/>
  <c r="I82" s="1"/>
  <c r="I208"/>
  <c r="I212"/>
  <c r="I213" s="1"/>
  <c r="I243"/>
  <c r="I244"/>
  <c r="I248"/>
  <c r="I249" s="1"/>
  <c r="I278"/>
  <c r="I283"/>
  <c r="I284" s="1"/>
  <c r="I307"/>
  <c r="I308" s="1"/>
  <c r="I317"/>
  <c r="I318" s="1"/>
  <c r="I435"/>
  <c r="I436" s="1"/>
  <c r="I445"/>
  <c r="I446" s="1"/>
  <c r="H539"/>
  <c r="I539" s="1"/>
  <c r="I543"/>
  <c r="I544" s="1"/>
  <c r="I507"/>
  <c r="I508" s="1"/>
  <c r="I511"/>
  <c r="I512" s="1"/>
  <c r="I1001"/>
  <c r="I1002" s="1"/>
  <c r="I1005"/>
  <c r="I1006" s="1"/>
  <c r="C1026"/>
  <c r="I1035"/>
  <c r="I1036" s="1"/>
  <c r="I1039"/>
  <c r="I1040" s="1"/>
  <c r="C913"/>
  <c r="I918"/>
  <c r="I919" s="1"/>
  <c r="H923"/>
  <c r="I923" s="1"/>
  <c r="I928"/>
  <c r="C1057"/>
  <c r="I1062"/>
  <c r="I1063" s="1"/>
  <c r="H1068"/>
  <c r="I1068" s="1"/>
  <c r="I349"/>
  <c r="I350" s="1"/>
  <c r="C945"/>
  <c r="I950"/>
  <c r="I951" s="1"/>
  <c r="H967"/>
  <c r="I967" s="1"/>
  <c r="I976"/>
  <c r="I977" s="1"/>
  <c r="C1091"/>
  <c r="I1096"/>
  <c r="I1097" s="1"/>
  <c r="H1100"/>
  <c r="I1100" s="1"/>
  <c r="I1108"/>
  <c r="I1109" s="1"/>
  <c r="C1126"/>
  <c r="I1131"/>
  <c r="I1132" s="1"/>
  <c r="I1145"/>
  <c r="I1146" s="1"/>
  <c r="C1259"/>
  <c r="H1270"/>
  <c r="I1270" s="1"/>
  <c r="I1282"/>
  <c r="I1283" s="1"/>
  <c r="C1440"/>
  <c r="D1450"/>
  <c r="D1454"/>
  <c r="D1456"/>
  <c r="D1459"/>
  <c r="D1461"/>
  <c r="I1466"/>
  <c r="I1467" s="1"/>
  <c r="I566"/>
  <c r="I567" s="1"/>
  <c r="I570"/>
  <c r="I571" s="1"/>
  <c r="H574"/>
  <c r="I574" s="1"/>
  <c r="I575" s="1"/>
  <c r="C1366"/>
  <c r="D1375"/>
  <c r="I1385"/>
  <c r="I1386" s="1"/>
  <c r="I1519"/>
  <c r="I1520" s="1"/>
  <c r="D1523"/>
  <c r="D1524"/>
  <c r="D1525"/>
  <c r="D1526"/>
  <c r="I1533"/>
  <c r="I1534" s="1"/>
  <c r="D14" i="8"/>
  <c r="D15" i="7"/>
  <c r="I16" i="2"/>
  <c r="I17" s="1"/>
  <c r="H288"/>
  <c r="I288" s="1"/>
  <c r="H1538"/>
  <c r="I1538" s="1"/>
  <c r="H639"/>
  <c r="I639" s="1"/>
  <c r="H600"/>
  <c r="I600" s="1"/>
  <c r="H1113"/>
  <c r="I1113" s="1"/>
  <c r="H538"/>
  <c r="I538" s="1"/>
  <c r="I540" s="1"/>
  <c r="H1577"/>
  <c r="I1577" s="1"/>
  <c r="H548"/>
  <c r="I548" s="1"/>
  <c r="H217"/>
  <c r="I217" s="1"/>
  <c r="H386"/>
  <c r="I386" s="1"/>
  <c r="H1043"/>
  <c r="I1043" s="1"/>
  <c r="H964"/>
  <c r="I964" s="1"/>
  <c r="H277"/>
  <c r="I277" s="1"/>
  <c r="H862"/>
  <c r="I862" s="1"/>
  <c r="H871"/>
  <c r="I871" s="1"/>
  <c r="H1539"/>
  <c r="I1539" s="1"/>
  <c r="H1526"/>
  <c r="H1523"/>
  <c r="I1523" s="1"/>
  <c r="H1458"/>
  <c r="H778"/>
  <c r="I778" s="1"/>
  <c r="H1562"/>
  <c r="I1562" s="1"/>
  <c r="H1660"/>
  <c r="I1660" s="1"/>
  <c r="H547"/>
  <c r="I547" s="1"/>
  <c r="H1455"/>
  <c r="I1455" s="1"/>
  <c r="H1271"/>
  <c r="I1271" s="1"/>
  <c r="H76"/>
  <c r="I76" s="1"/>
  <c r="H376"/>
  <c r="I376" s="1"/>
  <c r="H344"/>
  <c r="I344" s="1"/>
  <c r="H870"/>
  <c r="I870" s="1"/>
  <c r="H1607"/>
  <c r="I1607" s="1"/>
  <c r="H1604"/>
  <c r="I1604" s="1"/>
  <c r="H1683"/>
  <c r="I1683" s="1"/>
  <c r="I1686" s="1"/>
  <c r="H1375"/>
  <c r="H75"/>
  <c r="I75" s="1"/>
  <c r="H1613"/>
  <c r="I1613" s="1"/>
  <c r="H1219"/>
  <c r="I1219" s="1"/>
  <c r="H1460"/>
  <c r="I1460" s="1"/>
  <c r="H1566"/>
  <c r="I1566" s="1"/>
  <c r="H1618"/>
  <c r="I1618" s="1"/>
  <c r="H1209"/>
  <c r="I1209" s="1"/>
  <c r="H682"/>
  <c r="I682" s="1"/>
  <c r="H981"/>
  <c r="I981" s="1"/>
  <c r="H1580"/>
  <c r="I1580" s="1"/>
  <c r="H1250"/>
  <c r="I1250" s="1"/>
  <c r="H254"/>
  <c r="I254" s="1"/>
  <c r="H714"/>
  <c r="I714" s="1"/>
  <c r="H1576"/>
  <c r="I1576" s="1"/>
  <c r="H1457"/>
  <c r="I1457" s="1"/>
  <c r="H385"/>
  <c r="I385" s="1"/>
  <c r="H253"/>
  <c r="I253" s="1"/>
  <c r="H1579"/>
  <c r="I1579" s="1"/>
  <c r="H1324"/>
  <c r="I1324" s="1"/>
  <c r="H279"/>
  <c r="I279" s="1"/>
  <c r="H1537"/>
  <c r="I1537" s="1"/>
  <c r="H931"/>
  <c r="I931" s="1"/>
  <c r="H1395"/>
  <c r="I1395" s="1"/>
  <c r="H322"/>
  <c r="I322" s="1"/>
  <c r="H1272"/>
  <c r="I1272" s="1"/>
  <c r="G7"/>
  <c r="I7" s="1"/>
  <c r="H1565"/>
  <c r="I1565" s="1"/>
  <c r="H1459"/>
  <c r="I1459" s="1"/>
  <c r="H287"/>
  <c r="I287" s="1"/>
  <c r="H602"/>
  <c r="I602" s="1"/>
  <c r="H1453"/>
  <c r="I1453" s="1"/>
  <c r="H1278"/>
  <c r="I1278" s="1"/>
  <c r="H1392"/>
  <c r="I1392" s="1"/>
  <c r="H1661"/>
  <c r="I1661" s="1"/>
  <c r="H473"/>
  <c r="I473" s="1"/>
  <c r="H640"/>
  <c r="I640" s="1"/>
  <c r="H1501"/>
  <c r="I1501" s="1"/>
  <c r="H861"/>
  <c r="I861" s="1"/>
  <c r="H312"/>
  <c r="I312" s="1"/>
  <c r="H1525"/>
  <c r="I1525" s="1"/>
  <c r="H1456"/>
  <c r="H1454"/>
  <c r="H969"/>
  <c r="I969" s="1"/>
  <c r="H1578"/>
  <c r="I1578" s="1"/>
  <c r="H1610"/>
  <c r="I1610" s="1"/>
  <c r="H1628"/>
  <c r="I1628" s="1"/>
  <c r="H1393"/>
  <c r="I1393" s="1"/>
  <c r="H408"/>
  <c r="I408" s="1"/>
  <c r="H474"/>
  <c r="I474" s="1"/>
  <c r="H770"/>
  <c r="I770" s="1"/>
  <c r="H242"/>
  <c r="I242" s="1"/>
  <c r="H1345"/>
  <c r="I1345" s="1"/>
  <c r="H1309"/>
  <c r="I1309" s="1"/>
  <c r="H252"/>
  <c r="I252" s="1"/>
  <c r="H1381"/>
  <c r="I1381" s="1"/>
  <c r="H1275"/>
  <c r="I1275" s="1"/>
  <c r="H1141"/>
  <c r="I1141" s="1"/>
  <c r="H1310"/>
  <c r="I1310" s="1"/>
  <c r="H52"/>
  <c r="I52" s="1"/>
  <c r="I53" s="1"/>
  <c r="I54" s="1"/>
  <c r="H1470"/>
  <c r="I1470" s="1"/>
  <c r="H153"/>
  <c r="I153" s="1"/>
  <c r="H681"/>
  <c r="I681" s="1"/>
  <c r="H417"/>
  <c r="I417" s="1"/>
  <c r="H1627"/>
  <c r="I1627" s="1"/>
  <c r="H747"/>
  <c r="I747" s="1"/>
  <c r="H20"/>
  <c r="I20" s="1"/>
  <c r="I21" s="1"/>
  <c r="I22" s="1"/>
  <c r="H1581"/>
  <c r="I1581" s="1"/>
  <c r="H616"/>
  <c r="I616" s="1"/>
  <c r="H980"/>
  <c r="I980" s="1"/>
  <c r="H713"/>
  <c r="I713" s="1"/>
  <c r="H450"/>
  <c r="I450" s="1"/>
  <c r="H1149"/>
  <c r="I1149" s="1"/>
  <c r="H809"/>
  <c r="I809" s="1"/>
  <c r="H86"/>
  <c r="I86" s="1"/>
  <c r="H407"/>
  <c r="I407" s="1"/>
  <c r="H345"/>
  <c r="I345" s="1"/>
  <c r="H1139"/>
  <c r="I1139" s="1"/>
  <c r="H1524"/>
  <c r="H1608"/>
  <c r="I1608" s="1"/>
  <c r="H960"/>
  <c r="I960" s="1"/>
  <c r="G140"/>
  <c r="I140" s="1"/>
  <c r="G8"/>
  <c r="I8" s="1"/>
  <c r="G40"/>
  <c r="I40" s="1"/>
  <c r="H954"/>
  <c r="I954" s="1"/>
  <c r="H1602"/>
  <c r="I1602" s="1"/>
  <c r="I1072"/>
  <c r="I1073" s="1"/>
  <c r="H1427"/>
  <c r="I1427" s="1"/>
  <c r="G1371"/>
  <c r="I1371" s="1"/>
  <c r="I1372" s="1"/>
  <c r="H1277"/>
  <c r="I1277" s="1"/>
  <c r="G700"/>
  <c r="I700" s="1"/>
  <c r="H1611"/>
  <c r="I1611" s="1"/>
  <c r="H972"/>
  <c r="I972" s="1"/>
  <c r="H922"/>
  <c r="I922" s="1"/>
  <c r="H1066"/>
  <c r="I1066" s="1"/>
  <c r="H605"/>
  <c r="I605" s="1"/>
  <c r="H1450"/>
  <c r="G699"/>
  <c r="I699" s="1"/>
  <c r="G667"/>
  <c r="I667" s="1"/>
  <c r="G635"/>
  <c r="I635" s="1"/>
  <c r="I636" s="1"/>
  <c r="G203"/>
  <c r="I203" s="1"/>
  <c r="I204" s="1"/>
  <c r="H958"/>
  <c r="I958" s="1"/>
  <c r="H1606"/>
  <c r="I1606" s="1"/>
  <c r="H1377"/>
  <c r="I1377" s="1"/>
  <c r="H1563"/>
  <c r="I1563" s="1"/>
  <c r="H604"/>
  <c r="I604" s="1"/>
  <c r="H615"/>
  <c r="I615" s="1"/>
  <c r="H1471"/>
  <c r="I1471" s="1"/>
  <c r="H1287"/>
  <c r="I1287" s="1"/>
  <c r="G340"/>
  <c r="I340" s="1"/>
  <c r="I341" s="1"/>
  <c r="G1264"/>
  <c r="I1264" s="1"/>
  <c r="I1265" s="1"/>
  <c r="G1445"/>
  <c r="I1445" s="1"/>
  <c r="I1446" s="1"/>
  <c r="G403"/>
  <c r="I403" s="1"/>
  <c r="I404" s="1"/>
  <c r="G238"/>
  <c r="I238" s="1"/>
  <c r="H1187"/>
  <c r="I1187" s="1"/>
  <c r="H1428"/>
  <c r="I1428" s="1"/>
  <c r="H1150"/>
  <c r="I1150" s="1"/>
  <c r="H1378"/>
  <c r="I1378" s="1"/>
  <c r="G596"/>
  <c r="I596" s="1"/>
  <c r="I597" s="1"/>
  <c r="H955"/>
  <c r="I955" s="1"/>
  <c r="G503"/>
  <c r="I503" s="1"/>
  <c r="I504" s="1"/>
  <c r="H808"/>
  <c r="I808" s="1"/>
  <c r="G534"/>
  <c r="I534" s="1"/>
  <c r="I535" s="1"/>
  <c r="H1629"/>
  <c r="I1629" s="1"/>
  <c r="H1077"/>
  <c r="I1077" s="1"/>
  <c r="H932"/>
  <c r="I932" s="1"/>
  <c r="H377"/>
  <c r="I377" s="1"/>
  <c r="H737"/>
  <c r="I737" s="1"/>
  <c r="H207"/>
  <c r="I207" s="1"/>
  <c r="I209" s="1"/>
  <c r="H440"/>
  <c r="I440" s="1"/>
  <c r="H957"/>
  <c r="I957" s="1"/>
  <c r="H1605"/>
  <c r="I1605" s="1"/>
  <c r="H961"/>
  <c r="I961" s="1"/>
  <c r="G272"/>
  <c r="I272" s="1"/>
  <c r="G469"/>
  <c r="I469" s="1"/>
  <c r="I470" s="1"/>
  <c r="G668"/>
  <c r="I668" s="1"/>
  <c r="G857"/>
  <c r="I857" s="1"/>
  <c r="I858" s="1"/>
  <c r="H746"/>
  <c r="I746" s="1"/>
  <c r="H218"/>
  <c r="I218" s="1"/>
  <c r="H416"/>
  <c r="I416" s="1"/>
  <c r="H680"/>
  <c r="I680" s="1"/>
  <c r="H216"/>
  <c r="I216" s="1"/>
  <c r="H1249"/>
  <c r="I1249" s="1"/>
  <c r="H650"/>
  <c r="I650" s="1"/>
  <c r="H838"/>
  <c r="I838" s="1"/>
  <c r="H321"/>
  <c r="I321" s="1"/>
  <c r="H648"/>
  <c r="I648" s="1"/>
  <c r="H449"/>
  <c r="I449" s="1"/>
  <c r="H516"/>
  <c r="I516" s="1"/>
  <c r="H484"/>
  <c r="I484" s="1"/>
  <c r="H649"/>
  <c r="I649" s="1"/>
  <c r="H1426"/>
  <c r="I1426" s="1"/>
  <c r="H1286"/>
  <c r="I1286" s="1"/>
  <c r="H353"/>
  <c r="I353" s="1"/>
  <c r="H1389"/>
  <c r="I1389" s="1"/>
  <c r="H1502"/>
  <c r="I1502" s="1"/>
  <c r="H1354"/>
  <c r="I1354" s="1"/>
  <c r="H779"/>
  <c r="I779" s="1"/>
  <c r="H354"/>
  <c r="I354" s="1"/>
  <c r="H1112"/>
  <c r="I1112" s="1"/>
  <c r="H839"/>
  <c r="I839" s="1"/>
  <c r="H1188"/>
  <c r="I1188" s="1"/>
  <c r="H184"/>
  <c r="I184" s="1"/>
  <c r="H1013"/>
  <c r="I1013" s="1"/>
  <c r="I1014" s="1"/>
  <c r="I1015" s="1"/>
  <c r="H120"/>
  <c r="I120" s="1"/>
  <c r="H121"/>
  <c r="I121" s="1"/>
  <c r="D12" i="7"/>
  <c r="I1317" i="2"/>
  <c r="I378"/>
  <c r="I1524" l="1"/>
  <c r="I1450"/>
  <c r="I1375"/>
  <c r="I1382" s="1"/>
  <c r="I1458"/>
  <c r="I1526"/>
  <c r="I1530" s="1"/>
  <c r="I1308"/>
  <c r="I780"/>
  <c r="I781" s="1"/>
  <c r="G273"/>
  <c r="I273" s="1"/>
  <c r="I1662"/>
  <c r="I1663" s="1"/>
  <c r="I1105"/>
  <c r="I701"/>
  <c r="I442"/>
  <c r="I41"/>
  <c r="K1354"/>
  <c r="I1323"/>
  <c r="I1461"/>
  <c r="I409"/>
  <c r="I274"/>
  <c r="I1697"/>
  <c r="I1698" s="1"/>
  <c r="I771"/>
  <c r="I983"/>
  <c r="I748"/>
  <c r="I749" s="1"/>
  <c r="I387"/>
  <c r="I388" s="1"/>
  <c r="I389" s="1"/>
  <c r="I390" s="1"/>
  <c r="I1177"/>
  <c r="G139"/>
  <c r="I139" s="1"/>
  <c r="I141" s="1"/>
  <c r="I1142"/>
  <c r="I984"/>
  <c r="I1630"/>
  <c r="I1631" s="1"/>
  <c r="I87"/>
  <c r="I88" s="1"/>
  <c r="I517"/>
  <c r="I518" s="1"/>
  <c r="I1078"/>
  <c r="I1079" s="1"/>
  <c r="D47" i="8"/>
  <c r="D38" i="7"/>
  <c r="D44" s="1"/>
  <c r="D46" i="8"/>
  <c r="I245" i="2"/>
  <c r="I451"/>
  <c r="I452" s="1"/>
  <c r="I1251"/>
  <c r="I1252" s="1"/>
  <c r="I1253" s="1"/>
  <c r="I1254" s="1"/>
  <c r="I617"/>
  <c r="I618" s="1"/>
  <c r="I255"/>
  <c r="I256" s="1"/>
  <c r="I1454"/>
  <c r="I549"/>
  <c r="I550" s="1"/>
  <c r="I551" s="1"/>
  <c r="I552" s="1"/>
  <c r="I641"/>
  <c r="K1323"/>
  <c r="D39" i="7"/>
  <c r="D45" s="1"/>
  <c r="I810" i="2"/>
  <c r="I811" s="1"/>
  <c r="I812" s="1"/>
  <c r="I813" s="1"/>
  <c r="I1456"/>
  <c r="I113"/>
  <c r="I581"/>
  <c r="I582" s="1"/>
  <c r="I583" s="1"/>
  <c r="I584" s="1"/>
  <c r="I519"/>
  <c r="I520" s="1"/>
  <c r="I521" s="1"/>
  <c r="I522" s="1"/>
  <c r="I1069"/>
  <c r="I290"/>
  <c r="I1016"/>
  <c r="I1017" s="1"/>
  <c r="I1018" s="1"/>
  <c r="I1114"/>
  <c r="I1115" s="1"/>
  <c r="I924"/>
  <c r="I1312"/>
  <c r="I280"/>
  <c r="I739"/>
  <c r="I314"/>
  <c r="I476"/>
  <c r="I1211"/>
  <c r="I185"/>
  <c r="I186" s="1"/>
  <c r="I187" s="1"/>
  <c r="I188" s="1"/>
  <c r="I189" s="1"/>
  <c r="I190" s="1"/>
  <c r="I418"/>
  <c r="I419" s="1"/>
  <c r="I420" s="1"/>
  <c r="I421" s="1"/>
  <c r="I1151"/>
  <c r="I1152" s="1"/>
  <c r="I1472"/>
  <c r="I1473" s="1"/>
  <c r="I669"/>
  <c r="I1620"/>
  <c r="I1648"/>
  <c r="I1503"/>
  <c r="I1504" s="1"/>
  <c r="I1505" s="1"/>
  <c r="I1506" s="1"/>
  <c r="I1507" s="1"/>
  <c r="I1508" s="1"/>
  <c r="I323"/>
  <c r="I324" s="1"/>
  <c r="I933"/>
  <c r="I934" s="1"/>
  <c r="I9"/>
  <c r="I23" s="1"/>
  <c r="I24" s="1"/>
  <c r="I25" s="1"/>
  <c r="I26" s="1"/>
  <c r="G21" i="10" s="1"/>
  <c r="I973" i="2"/>
  <c r="I1429"/>
  <c r="I1430" s="1"/>
  <c r="I355"/>
  <c r="I356" s="1"/>
  <c r="I1540"/>
  <c r="I1541" s="1"/>
  <c r="I55"/>
  <c r="I56" s="1"/>
  <c r="I57" s="1"/>
  <c r="I58" s="1"/>
  <c r="G22" i="10" s="1"/>
  <c r="I1288" i="2"/>
  <c r="I1289" s="1"/>
  <c r="I219"/>
  <c r="I220" s="1"/>
  <c r="I221" s="1"/>
  <c r="I222" s="1"/>
  <c r="I223" s="1"/>
  <c r="I224" s="1"/>
  <c r="G29" i="10" s="1"/>
  <c r="H29" s="1"/>
  <c r="I239" i="2"/>
  <c r="I863"/>
  <c r="I872"/>
  <c r="I873" s="1"/>
  <c r="I1347"/>
  <c r="I1699"/>
  <c r="I1700" s="1"/>
  <c r="G111" i="10" s="1"/>
  <c r="H111" s="1"/>
  <c r="I683" i="2"/>
  <c r="I684" s="1"/>
  <c r="I122"/>
  <c r="I123" s="1"/>
  <c r="I346"/>
  <c r="I715"/>
  <c r="I716" s="1"/>
  <c r="I1220"/>
  <c r="I1221" s="1"/>
  <c r="I485"/>
  <c r="I486" s="1"/>
  <c r="I78"/>
  <c r="I1279"/>
  <c r="I1568"/>
  <c r="I154"/>
  <c r="I155" s="1"/>
  <c r="I1325"/>
  <c r="I1326" s="1"/>
  <c r="I1355"/>
  <c r="I1356" s="1"/>
  <c r="I1044"/>
  <c r="I1045" s="1"/>
  <c r="I1046" s="1"/>
  <c r="I1047" s="1"/>
  <c r="I901"/>
  <c r="I902" s="1"/>
  <c r="I903" s="1"/>
  <c r="I904" s="1"/>
  <c r="I651"/>
  <c r="I652" s="1"/>
  <c r="I840"/>
  <c r="I841" s="1"/>
  <c r="I1189"/>
  <c r="I1190" s="1"/>
  <c r="I1582"/>
  <c r="I1583" s="1"/>
  <c r="I1396"/>
  <c r="I1397" s="1"/>
  <c r="I842"/>
  <c r="I843" s="1"/>
  <c r="I608"/>
  <c r="I291"/>
  <c r="I782" l="1"/>
  <c r="I783" s="1"/>
  <c r="I784" s="1"/>
  <c r="I785" s="1"/>
  <c r="G51" i="10" s="1"/>
  <c r="H51" s="1"/>
  <c r="I453" i="2"/>
  <c r="I454" s="1"/>
  <c r="I455" s="1"/>
  <c r="I456" s="1"/>
  <c r="G36" i="10" s="1"/>
  <c r="I1357" i="2"/>
  <c r="I1358" s="1"/>
  <c r="I1116"/>
  <c r="I1117" s="1"/>
  <c r="I1118" s="1"/>
  <c r="I1119" s="1"/>
  <c r="I292"/>
  <c r="I293" s="1"/>
  <c r="I717"/>
  <c r="I718" s="1"/>
  <c r="I719" s="1"/>
  <c r="I720" s="1"/>
  <c r="G47" i="10" s="1"/>
  <c r="H47" s="1"/>
  <c r="I1542" i="2"/>
  <c r="I1543" s="1"/>
  <c r="I1544" s="1"/>
  <c r="I1545" s="1"/>
  <c r="G82" i="10" s="1"/>
  <c r="H82" s="1"/>
  <c r="I1664" i="2"/>
  <c r="I1665" s="1"/>
  <c r="I1666" s="1"/>
  <c r="I1667" s="1"/>
  <c r="G98" i="10" s="1"/>
  <c r="H98" s="1"/>
  <c r="I653" i="2"/>
  <c r="I654" s="1"/>
  <c r="I1463"/>
  <c r="I1474" s="1"/>
  <c r="I1475" s="1"/>
  <c r="I1476" s="1"/>
  <c r="I1477" s="1"/>
  <c r="I89"/>
  <c r="I90" s="1"/>
  <c r="I91" s="1"/>
  <c r="I92" s="1"/>
  <c r="I257"/>
  <c r="I258" s="1"/>
  <c r="H1182"/>
  <c r="I1182" s="1"/>
  <c r="I1584"/>
  <c r="I1585" s="1"/>
  <c r="I1586" s="1"/>
  <c r="I1587" s="1"/>
  <c r="G95" i="10" s="1"/>
  <c r="H95" s="1"/>
  <c r="I1398" i="2"/>
  <c r="I1399" s="1"/>
  <c r="I1400" s="1"/>
  <c r="I1401" s="1"/>
  <c r="G77" i="10" s="1"/>
  <c r="H77" s="1"/>
  <c r="I156" i="2"/>
  <c r="I157" s="1"/>
  <c r="I158" s="1"/>
  <c r="I159" s="1"/>
  <c r="I685"/>
  <c r="I686" s="1"/>
  <c r="I1080"/>
  <c r="I1081" s="1"/>
  <c r="I1082" s="1"/>
  <c r="I1083" s="1"/>
  <c r="G71" i="10" s="1"/>
  <c r="H71" s="1"/>
  <c r="I935" i="2"/>
  <c r="I936" s="1"/>
  <c r="I937" s="1"/>
  <c r="I938" s="1"/>
  <c r="G81" i="10" s="1"/>
  <c r="H81" s="1"/>
  <c r="I1153" i="2"/>
  <c r="I1154" s="1"/>
  <c r="I1155" s="1"/>
  <c r="I1156" s="1"/>
  <c r="G90" i="10" s="1"/>
  <c r="H90" s="1"/>
  <c r="I1632" i="2"/>
  <c r="I1633" s="1"/>
  <c r="I1634" s="1"/>
  <c r="I1635" s="1"/>
  <c r="G97" i="10" s="1"/>
  <c r="H97" s="1"/>
  <c r="I487" i="2"/>
  <c r="I488" s="1"/>
  <c r="I489" s="1"/>
  <c r="I490" s="1"/>
  <c r="I325"/>
  <c r="I326" s="1"/>
  <c r="I327" s="1"/>
  <c r="I328" s="1"/>
  <c r="I750"/>
  <c r="I751" s="1"/>
  <c r="I985"/>
  <c r="I986" s="1"/>
  <c r="I987" s="1"/>
  <c r="I988" s="1"/>
  <c r="G65" i="10" s="1"/>
  <c r="H65" s="1"/>
  <c r="I1019" i="2"/>
  <c r="G105" i="10" s="1"/>
  <c r="H105" s="1"/>
  <c r="H1318" i="2"/>
  <c r="I1318" s="1"/>
  <c r="I1255"/>
  <c r="I1256" s="1"/>
  <c r="H1183"/>
  <c r="I1183" s="1"/>
  <c r="G67" i="10"/>
  <c r="H67" s="1"/>
  <c r="G24"/>
  <c r="H24" s="1"/>
  <c r="D41" i="7"/>
  <c r="D55" i="8"/>
  <c r="D51"/>
  <c r="G83" i="10"/>
  <c r="H83" s="1"/>
  <c r="G66"/>
  <c r="H66" s="1"/>
  <c r="D42" i="7"/>
  <c r="I619" i="2"/>
  <c r="I620" s="1"/>
  <c r="H1180" s="1"/>
  <c r="I1180" s="1"/>
  <c r="I1222"/>
  <c r="I1223" s="1"/>
  <c r="H1181" s="1"/>
  <c r="I1181" s="1"/>
  <c r="D54" i="8"/>
  <c r="D50"/>
  <c r="G105" i="2"/>
  <c r="I105" s="1"/>
  <c r="I106" s="1"/>
  <c r="I124" s="1"/>
  <c r="I125" s="1"/>
  <c r="I126" s="1"/>
  <c r="I127" s="1"/>
  <c r="G25" i="10" s="1"/>
  <c r="H25" s="1"/>
  <c r="I874" i="2"/>
  <c r="I875" s="1"/>
  <c r="I876" s="1"/>
  <c r="I877" s="1"/>
  <c r="G57" i="10" s="1"/>
  <c r="H57" s="1"/>
  <c r="I752" i="2"/>
  <c r="I753" s="1"/>
  <c r="G49" i="10" s="1"/>
  <c r="H49" s="1"/>
  <c r="I1290" i="2"/>
  <c r="I1291" s="1"/>
  <c r="I1292" s="1"/>
  <c r="I1293" s="1"/>
  <c r="I357"/>
  <c r="I358" s="1"/>
  <c r="I655"/>
  <c r="I656" s="1"/>
  <c r="G45" i="10" s="1"/>
  <c r="H45" s="1"/>
  <c r="I905" i="2"/>
  <c r="I906" s="1"/>
  <c r="G58" i="10" s="1"/>
  <c r="H58" s="1"/>
  <c r="I1048" i="2"/>
  <c r="I1049" s="1"/>
  <c r="I687"/>
  <c r="I688" s="1"/>
  <c r="G46" i="10" s="1"/>
  <c r="H46" s="1"/>
  <c r="G44"/>
  <c r="H44" s="1"/>
  <c r="G28"/>
  <c r="H28" s="1"/>
  <c r="H22"/>
  <c r="H1316" i="2"/>
  <c r="I1316" s="1"/>
  <c r="I1359"/>
  <c r="I1360" s="1"/>
  <c r="I391"/>
  <c r="I392" s="1"/>
  <c r="I553"/>
  <c r="I554" s="1"/>
  <c r="G39" i="10" s="1"/>
  <c r="G48"/>
  <c r="H48" s="1"/>
  <c r="G60"/>
  <c r="H60" s="1"/>
  <c r="G38"/>
  <c r="H38" s="1"/>
  <c r="G40"/>
  <c r="H40" s="1"/>
  <c r="G61"/>
  <c r="H61" s="1"/>
  <c r="H21"/>
  <c r="I294" i="2"/>
  <c r="I295" s="1"/>
  <c r="G31" i="10" s="1"/>
  <c r="H31" s="1"/>
  <c r="I844" i="2"/>
  <c r="I845" s="1"/>
  <c r="G54" i="10" s="1"/>
  <c r="H54" s="1"/>
  <c r="I422" i="2"/>
  <c r="I423" s="1"/>
  <c r="I259"/>
  <c r="I260" s="1"/>
  <c r="G30" i="10" s="1"/>
  <c r="H30" s="1"/>
  <c r="I814" i="2"/>
  <c r="I815" s="1"/>
  <c r="G53" i="10" s="1"/>
  <c r="H53" s="1"/>
  <c r="G100" l="1"/>
  <c r="H100" s="1"/>
  <c r="G84"/>
  <c r="H84" s="1"/>
  <c r="G69"/>
  <c r="H69" s="1"/>
  <c r="G86"/>
  <c r="H86" s="1"/>
  <c r="G99"/>
  <c r="H99" s="1"/>
  <c r="G88"/>
  <c r="H88" s="1"/>
  <c r="G64"/>
  <c r="H64" s="1"/>
  <c r="G96"/>
  <c r="H96" s="1"/>
  <c r="G103"/>
  <c r="H103" s="1"/>
  <c r="G73"/>
  <c r="H73" s="1"/>
  <c r="H1319" i="2"/>
  <c r="I1319" s="1"/>
  <c r="H1422"/>
  <c r="I1422" s="1"/>
  <c r="I1423" s="1"/>
  <c r="I1431" s="1"/>
  <c r="I1432" s="1"/>
  <c r="I1433" s="1"/>
  <c r="I1434" s="1"/>
  <c r="I1224"/>
  <c r="I1225" s="1"/>
  <c r="I621"/>
  <c r="I622" s="1"/>
  <c r="G41" i="10" s="1"/>
  <c r="H41" s="1"/>
  <c r="G107"/>
  <c r="H107" s="1"/>
  <c r="G92"/>
  <c r="H92" s="1"/>
  <c r="G75"/>
  <c r="H75" s="1"/>
  <c r="I1184" i="2"/>
  <c r="I1191" s="1"/>
  <c r="I1192" s="1"/>
  <c r="I1193" s="1"/>
  <c r="I1194" s="1"/>
  <c r="G101" i="10"/>
  <c r="H101" s="1"/>
  <c r="G106"/>
  <c r="H106" s="1"/>
  <c r="G70"/>
  <c r="H70" s="1"/>
  <c r="G85"/>
  <c r="H85" s="1"/>
  <c r="G68"/>
  <c r="H68" s="1"/>
  <c r="G87"/>
  <c r="H87" s="1"/>
  <c r="G109"/>
  <c r="H109" s="1"/>
  <c r="G79"/>
  <c r="H79" s="1"/>
  <c r="G102"/>
  <c r="H102" s="1"/>
  <c r="G72"/>
  <c r="H72" s="1"/>
  <c r="G89"/>
  <c r="H89" s="1"/>
  <c r="G32"/>
  <c r="H32" s="1"/>
  <c r="G50"/>
  <c r="H50" s="1"/>
  <c r="G59"/>
  <c r="H59" s="1"/>
  <c r="G37"/>
  <c r="G23"/>
  <c r="H23" s="1"/>
  <c r="H20" s="1"/>
  <c r="G27"/>
  <c r="H27" s="1"/>
  <c r="G43"/>
  <c r="H43" s="1"/>
  <c r="G34"/>
  <c r="G55"/>
  <c r="H55" s="1"/>
  <c r="G56"/>
  <c r="H56" s="1"/>
  <c r="G35"/>
  <c r="H39"/>
  <c r="I359" i="2"/>
  <c r="I360" s="1"/>
  <c r="H1315"/>
  <c r="I1315" s="1"/>
  <c r="I1320" s="1"/>
  <c r="I1327" s="1"/>
  <c r="I1328" s="1"/>
  <c r="H36" i="10"/>
  <c r="G62" l="1"/>
  <c r="H62" s="1"/>
  <c r="G74"/>
  <c r="H74" s="1"/>
  <c r="G104"/>
  <c r="H104" s="1"/>
  <c r="G91"/>
  <c r="H91" s="1"/>
  <c r="G110"/>
  <c r="H110" s="1"/>
  <c r="G78"/>
  <c r="H78" s="1"/>
  <c r="I1329" i="2"/>
  <c r="I1330" s="1"/>
  <c r="H35" i="10"/>
  <c r="G33"/>
  <c r="H33" s="1"/>
  <c r="G52"/>
  <c r="H52" s="1"/>
  <c r="H34"/>
  <c r="H37"/>
  <c r="H42" l="1"/>
  <c r="H26"/>
  <c r="G93"/>
  <c r="H93" s="1"/>
  <c r="H80" s="1"/>
  <c r="G76"/>
  <c r="H76" s="1"/>
  <c r="H63" s="1"/>
  <c r="G108"/>
  <c r="H108" s="1"/>
  <c r="H94" s="1"/>
  <c r="G14" l="1"/>
  <c r="G15"/>
  <c r="G16" l="1"/>
  <c r="J82" l="1"/>
  <c r="I1547" i="2" s="1"/>
</calcChain>
</file>

<file path=xl/sharedStrings.xml><?xml version="1.0" encoding="utf-8"?>
<sst xmlns="http://schemas.openxmlformats.org/spreadsheetml/2006/main" count="3881" uniqueCount="701">
  <si>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</si>
  <si>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</si>
  <si>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</si>
  <si>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</si>
  <si>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</si>
  <si>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</si>
  <si>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</si>
  <si>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</si>
  <si>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UNITÁRIO</t>
  </si>
  <si>
    <t>TOTAL</t>
  </si>
  <si>
    <t>Serviços Preliminares</t>
  </si>
  <si>
    <t>1.1</t>
  </si>
  <si>
    <t>Mobilização de Equipamentos, Materiais e Pessoal.</t>
  </si>
  <si>
    <t>unid.</t>
  </si>
  <si>
    <t>1.2</t>
  </si>
  <si>
    <t>Desmobilização de Equipamentos, Materiais e Pessoal.</t>
  </si>
  <si>
    <t>1.3</t>
  </si>
  <si>
    <t>Fornecimento, montagem e conservação de placa de identificação de obra padrão CODEVASF (3m x 2m).</t>
  </si>
  <si>
    <t>1.4</t>
  </si>
  <si>
    <t>mês</t>
  </si>
  <si>
    <t>1.5</t>
  </si>
  <si>
    <t>2.1</t>
  </si>
  <si>
    <t>Locação, acompanhamento da perfuração e da instalação do poço, por profissional habilitado.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</si>
  <si>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</si>
  <si>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</si>
  <si>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</si>
  <si>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</si>
  <si>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</si>
  <si>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</si>
  <si>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</si>
  <si>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</si>
  <si>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Cimentação anelar do poço, com argamassa de cimento e areia produzida no traço 1:3.</t>
  </si>
  <si>
    <t>m³</t>
  </si>
  <si>
    <t>2.9</t>
  </si>
  <si>
    <t>3.1</t>
  </si>
  <si>
    <t>3.2</t>
  </si>
  <si>
    <t>3.3</t>
  </si>
  <si>
    <t>3.4</t>
  </si>
  <si>
    <t>3.5</t>
  </si>
  <si>
    <t>4.1</t>
  </si>
  <si>
    <t>4.2</t>
  </si>
  <si>
    <t>Escavação manual de vala de fundação em material de 1 ª categoria, com dimensões de 0,40 m x 0,30 m, incluindo regularização manual do fundo da vala.</t>
  </si>
  <si>
    <t>4.3</t>
  </si>
  <si>
    <t>Aterro manual de valas de fundação com até 0,40m de profundidade.</t>
  </si>
  <si>
    <t>4.4</t>
  </si>
  <si>
    <t xml:space="preserve">Escavação manual de vala para instalação de tubulação de adutora em material de 1ª categoria, com dimensões de 0,40m x 0,30m, incluindo regularização manual do fundo de vala.  </t>
  </si>
  <si>
    <t>4.5</t>
  </si>
  <si>
    <t>Aterro manual de valas até 0,40m de profundidade.</t>
  </si>
  <si>
    <t>4.6</t>
  </si>
  <si>
    <t>4.7</t>
  </si>
  <si>
    <t>4.8</t>
  </si>
  <si>
    <t>4.9</t>
  </si>
  <si>
    <t>4.10</t>
  </si>
  <si>
    <t>4.11</t>
  </si>
  <si>
    <t>4.12</t>
  </si>
  <si>
    <t>CODEVASF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</si>
  <si>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</si>
  <si>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</si>
  <si>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</si>
  <si>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</si>
  <si>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</si>
  <si>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</si>
  <si>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</si>
  <si>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</si>
  <si>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</si>
  <si>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</si>
  <si>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</si>
  <si>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</si>
  <si>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</si>
  <si>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</si>
  <si>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</si>
  <si>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</si>
  <si>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</si>
  <si>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Passagem de Pessoal</t>
  </si>
  <si>
    <t>MÃO DE OBRA</t>
  </si>
  <si>
    <t>Servente</t>
  </si>
  <si>
    <t>PRODUÇÃO DA EQUIPE</t>
  </si>
  <si>
    <t xml:space="preserve">CUSTO </t>
  </si>
  <si>
    <t>TOTAL DO SERVIÇO - R$</t>
  </si>
  <si>
    <t>SERVIÇO : Desmobilização de equipamentos e Pessoal.</t>
  </si>
  <si>
    <t>EPI's - Capacete</t>
  </si>
  <si>
    <t>EPI's - Botas</t>
  </si>
  <si>
    <t>EPI's - Luva de vaqueta</t>
  </si>
  <si>
    <t>EPI's - Protetor auricular</t>
  </si>
  <si>
    <t>Técnico</t>
  </si>
  <si>
    <t>m²</t>
  </si>
  <si>
    <t>Estrutura de madeira mista medindo 7,5 cm x 7,5 cm.</t>
  </si>
  <si>
    <t>Prego 18x30.</t>
  </si>
  <si>
    <t>kg</t>
  </si>
  <si>
    <t>Placa de identificação da obra, conforme lay-aut normatizado</t>
  </si>
  <si>
    <t>Carpinteiro</t>
  </si>
  <si>
    <t>SERVIÇO : Destocamento e Limpeza do terreno - limpeza e raspagem manual</t>
  </si>
  <si>
    <t>SERVIÇO : Locação e acompanhamento da perfuração, teste de vazão e instalação de poço.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</si>
  <si>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</si>
  <si>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</si>
  <si>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</si>
  <si>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</si>
  <si>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</si>
  <si>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</si>
  <si>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</si>
  <si>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</si>
  <si>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SERVIÇO : Perfuração em 8" (decomposto).</t>
  </si>
  <si>
    <t>Compressor</t>
  </si>
  <si>
    <t>Óleo Lubrificante</t>
  </si>
  <si>
    <t>Graxa grafitada</t>
  </si>
  <si>
    <t>Operador de perfuratriz</t>
  </si>
  <si>
    <t>SERVIÇO : Perfuração em 6" (Cristalino).</t>
  </si>
  <si>
    <t>Lubrificante.</t>
  </si>
  <si>
    <t>Cap. Foi utilizado o item 26048 do Sinapi pois não encontramos de ferro fundido.</t>
  </si>
  <si>
    <t>Óleo Lubrificante.</t>
  </si>
  <si>
    <t>Operador de Compressor.</t>
  </si>
  <si>
    <t>Veículo popular.</t>
  </si>
  <si>
    <t>Análise físico-químico e bacteriológica da água.</t>
  </si>
  <si>
    <t>SERVIÇO : Escavação manual de solo de 1ª e 2ª categoria com profundidade de até 1,50m.</t>
  </si>
  <si>
    <t>SERVIÇO : Aterro de vala e cavas de fundação com avaliação visual da compactação.</t>
  </si>
  <si>
    <t>Compactador de solo com placa vibratória.</t>
  </si>
  <si>
    <t>Pasta lubrificante</t>
  </si>
  <si>
    <t>Tubo de PVC azul, diâmetro de 50mm.</t>
  </si>
  <si>
    <t>Este código foi o senhor que adotou.</t>
  </si>
  <si>
    <t>Encanador</t>
  </si>
  <si>
    <t>SERVIÇO : Assentamento de tubo e conexções de PVC JS DN 32mm.</t>
  </si>
  <si>
    <t>Pasta de limpeza.</t>
  </si>
  <si>
    <t>Tubo de PVC soldavel marom, diâmetro de 32mm.</t>
  </si>
  <si>
    <t>Cola de PVC</t>
  </si>
  <si>
    <t>SERVIÇO : Argamassa de cimento e areia 1:3, preparo mecanico.</t>
  </si>
  <si>
    <t>Betoneira com capacidade de 400l. Motor Diesel de 7 HP.</t>
  </si>
  <si>
    <t>Cimento Portland CP I - 32.</t>
  </si>
  <si>
    <t>Areira Lavavel.</t>
  </si>
  <si>
    <t>pedreiro</t>
  </si>
  <si>
    <t>Registro pvc esfera soldável 2"</t>
  </si>
  <si>
    <t>Curva galvanizada  2".</t>
  </si>
  <si>
    <t xml:space="preserve">Adaptador </t>
  </si>
  <si>
    <t>Luva ferro galv. 2"</t>
  </si>
  <si>
    <t>Fita isolante alto-fusão</t>
  </si>
  <si>
    <t>Fita veda rosca</t>
  </si>
  <si>
    <t>eletroduto de PVC rigido de 3/4".</t>
  </si>
  <si>
    <t>Talha manual para 1,5 ton.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</si>
  <si>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</si>
  <si>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</si>
  <si>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</si>
  <si>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</si>
  <si>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</si>
  <si>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Mourão de concreto para escora 10 x 10 cm, fipo esticador, fabricado em concreto armado e vibrado, L = 2,80 +/- 0,06m.</t>
  </si>
  <si>
    <t>Mourão de concreto tipo intermediário, ponta virada em 45º, seção T, com 51 furo, fabricado em concreto armado vibrado, L = 2,80 +/- 0,06m.</t>
  </si>
  <si>
    <t>Arame farpado galvanizado, classe 250 - 16 BWG - 2,10mm.</t>
  </si>
  <si>
    <t>Arame galvanizado fio 16 BWG - 1,65m (0,01666 kg/m).</t>
  </si>
  <si>
    <t>Areia</t>
  </si>
  <si>
    <t>Cimento.</t>
  </si>
  <si>
    <t>Brita 1.</t>
  </si>
  <si>
    <t>Pedreiro</t>
  </si>
  <si>
    <t>Pontalete de 8 x 8 cm - em madeira mista.</t>
  </si>
  <si>
    <t>Tabua de madeira mista de 30 x 2,5cm</t>
  </si>
  <si>
    <t>Arame recozido.</t>
  </si>
  <si>
    <t>Cal Hidratada</t>
  </si>
  <si>
    <t>Bloco de tijolo cerâmico furado.</t>
  </si>
  <si>
    <t>Areia média</t>
  </si>
  <si>
    <t>Torneira plastica de 1/2".</t>
  </si>
  <si>
    <t>Desmoldante</t>
  </si>
  <si>
    <t>Prego 18 x 30</t>
  </si>
  <si>
    <t>Sarrafo de madeira mista de 10 x 2,5cm.</t>
  </si>
  <si>
    <t>Aço CA-50 A ou B</t>
  </si>
  <si>
    <t>Arame recozido</t>
  </si>
  <si>
    <t>Pedra rachão.</t>
  </si>
  <si>
    <t>Tinta Látex</t>
  </si>
  <si>
    <t>L</t>
  </si>
  <si>
    <t>Laje Pré-moldada para cobertura, inclusive montagem e concreto armado, espessura de 20,0 cm (capeamento de 4cm).</t>
  </si>
  <si>
    <t>Verificar este item foi adotado o item 3743</t>
  </si>
  <si>
    <t>Lixa.</t>
  </si>
  <si>
    <t>Cimento Portland comum CP i - 32.</t>
  </si>
  <si>
    <t>Kg</t>
  </si>
  <si>
    <t>Areia Lavada</t>
  </si>
  <si>
    <t>Brita 1</t>
  </si>
  <si>
    <t>Brita 2</t>
  </si>
  <si>
    <t>Armação de aço CA 50, fornecimento e instalação.</t>
  </si>
  <si>
    <t>Forma plana em tábua em madeira de mista.</t>
  </si>
  <si>
    <t>SERVIÇO : Outorga de poço junto ao CPRH-PE.</t>
  </si>
  <si>
    <t>SERVIÇO : Elaboração de projeto e execução de rede elétrica de baixa tensão, extensão media de 200m, com cabo de aluminio de 25mm² (3+1).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</si>
  <si>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</si>
  <si>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</si>
  <si>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</si>
  <si>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</si>
  <si>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</si>
  <si>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 xml:space="preserve">Alça pré-formada de linha </t>
  </si>
  <si>
    <t>Engenheiro elétrico júnior</t>
  </si>
  <si>
    <t>Cadista.</t>
  </si>
  <si>
    <t>Topografo.</t>
  </si>
  <si>
    <t>Auxiliar de topografia.</t>
  </si>
  <si>
    <t>Eletricista montador.</t>
  </si>
  <si>
    <t>Auxiliar prático</t>
  </si>
  <si>
    <t>Servente.</t>
  </si>
  <si>
    <t>SERVIÇO : Fornecimento, montagem e instalação de poço tubular com catavento de base triangular, diametro da tubulação de 2", profundidade da injetora entre 40m e 56m - Inclusive  fixação da torre sobre base de concreto no traço 1:2:3.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</si>
  <si>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</si>
  <si>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</si>
  <si>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Cotação.</t>
  </si>
  <si>
    <t>Auxiliar Prático</t>
  </si>
  <si>
    <t xml:space="preserve"> 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</si>
  <si>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</si>
  <si>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</si>
  <si>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</si>
  <si>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</si>
  <si>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</si>
  <si>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</si>
  <si>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</si>
  <si>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</si>
  <si>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</si>
  <si>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</si>
  <si>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</si>
  <si>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</si>
  <si>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</si>
  <si>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</si>
  <si>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</si>
  <si>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</si>
  <si>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</si>
  <si>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</si>
  <si>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</si>
  <si>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</si>
  <si>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</si>
  <si>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</si>
  <si>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</si>
  <si>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</si>
  <si>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</si>
  <si>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</si>
  <si>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</si>
  <si>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</si>
  <si>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</si>
  <si>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</si>
  <si>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</si>
  <si>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</si>
  <si>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</si>
  <si>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</si>
  <si>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</si>
  <si>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</si>
  <si>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</si>
  <si>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</si>
  <si>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</si>
  <si>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</si>
  <si>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</si>
  <si>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</si>
  <si>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</si>
  <si>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</si>
  <si>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</si>
  <si>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</si>
  <si>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</si>
  <si>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</si>
  <si>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</si>
  <si>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</si>
  <si>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</si>
  <si>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</si>
  <si>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</si>
  <si>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</si>
  <si>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</si>
  <si>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</si>
  <si>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</si>
  <si>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</si>
  <si>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</si>
  <si>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</si>
  <si>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</si>
  <si>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</si>
  <si>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</si>
  <si>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</si>
  <si>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</si>
  <si>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</si>
  <si>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</si>
  <si>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</si>
  <si>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</si>
  <si>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</si>
  <si>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</si>
  <si>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</si>
  <si>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</si>
  <si>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</si>
  <si>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</si>
  <si>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</si>
  <si>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</si>
  <si>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</si>
  <si>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</si>
  <si>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</si>
  <si>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</si>
  <si>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Tecnico de Campo</t>
  </si>
  <si>
    <t>Óleo diesel comum</t>
  </si>
  <si>
    <t>Prego 18x30</t>
  </si>
  <si>
    <t xml:space="preserve">m </t>
  </si>
  <si>
    <t>Adesivo p tubo PVC pote de 850g</t>
  </si>
  <si>
    <t>Tubo PVC PBA  DN 50mm e conexões</t>
  </si>
  <si>
    <t>Cimento Portland CPI-32</t>
  </si>
  <si>
    <t>Areia  Média</t>
  </si>
  <si>
    <t>Areia Grossa</t>
  </si>
  <si>
    <t>Fita isolante Auto-Fusão 3M</t>
  </si>
  <si>
    <t>Fita veda rosca Rolos 18mm x 25m</t>
  </si>
  <si>
    <t>Fita veda rosca Rolos 18mm x 10m</t>
  </si>
  <si>
    <t>Talha manual para 1,5ton</t>
  </si>
  <si>
    <t>Bloco cerâmico(tijolo) furado 9x19x19</t>
  </si>
  <si>
    <t xml:space="preserve">Mourão Concreto T h=2,78 inc. 45º </t>
  </si>
  <si>
    <t>Mourão de concreto para escora, tipo esticador, fabricado em concreto armado e vibrado, L = 2,80 +/- 0,06m.</t>
  </si>
  <si>
    <t>Arame galvanizado fio 16 bwg - 1,65m (0,01666 kg/m).</t>
  </si>
  <si>
    <t>Arame farpado galvanizado  16bwg</t>
  </si>
  <si>
    <t>0034</t>
  </si>
  <si>
    <t>Aço CA-50  3/8" ( 9,52mm ).</t>
  </si>
  <si>
    <t>Pedra britada nº2</t>
  </si>
  <si>
    <t>tinta látex</t>
  </si>
  <si>
    <t>Pontalete de madeira mista 8 x 8cm</t>
  </si>
  <si>
    <t>Porta de ferro tipo TP chapa com guarnição 80 x 2,10cm.</t>
  </si>
  <si>
    <t>Dobradiças</t>
  </si>
  <si>
    <t>Fechadura</t>
  </si>
  <si>
    <t>Pasta Lubrificante 500g</t>
  </si>
  <si>
    <t>Compactador manual de solos, motor a gasolina potência mínima de 4HP - sapo tipo F.</t>
  </si>
  <si>
    <t>Veículo comercial leve Cap. Carga até 700kg, Gasolina</t>
  </si>
  <si>
    <t>Operador de Compressor</t>
  </si>
  <si>
    <t>Peça de madeira mista 7,5 x 7,5 cm</t>
  </si>
  <si>
    <t>Placa de identificação de obras, conforme Lay-out normatizado Chapa 22</t>
  </si>
  <si>
    <t>Camionete Carga até 1,2T c/ motor Diesel.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</si>
  <si>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</si>
  <si>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</si>
  <si>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</si>
  <si>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</si>
  <si>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EPI's Capacete</t>
  </si>
  <si>
    <t>EPI's e Bota</t>
  </si>
  <si>
    <t>EPI's Luva de vaqueta</t>
  </si>
  <si>
    <t>EPI's Protetor auricular</t>
  </si>
  <si>
    <t>Grampo - Conector p/ haste 19mm</t>
  </si>
  <si>
    <t>Cabo cobre isolante anti-chama 4mm</t>
  </si>
  <si>
    <t xml:space="preserve">CODEVASF </t>
  </si>
  <si>
    <t xml:space="preserve">Curva pvc eletroduto de 180º </t>
  </si>
  <si>
    <t>CPRH</t>
  </si>
  <si>
    <t>Curva galvanizada macho 2"</t>
  </si>
  <si>
    <t>Graxa</t>
  </si>
  <si>
    <t>Transporte de tubos de PVC 50mm</t>
  </si>
  <si>
    <t>Válvula de retenção vertical de 2" em broze com rosca.</t>
  </si>
  <si>
    <t>Armação secundaria, 1 estribo, com haste de diâmetro de 16mm por 150 mm de comprimento</t>
  </si>
  <si>
    <t>Compactador de solo com placa vibratória</t>
  </si>
  <si>
    <t>2.10</t>
  </si>
  <si>
    <t/>
  </si>
  <si>
    <t>Laje Pre-moldada, inclusive escoramento em concreto armado, espessura de 4,0 cm.</t>
  </si>
  <si>
    <t>OBRA: Perfuração e Instalação de Poços Tubulares.</t>
  </si>
  <si>
    <t>SERVIÇO: Mobilização de equipamentos e Pessoal.</t>
  </si>
  <si>
    <t xml:space="preserve">BDI          </t>
  </si>
  <si>
    <t xml:space="preserve">SUB-TOTAL </t>
  </si>
  <si>
    <t>SERVIÇO : Fornecimento e Assentamento de tubo e conexções de PVC JE DN 50mm.</t>
  </si>
  <si>
    <t xml:space="preserve">Pick-up leve, à gasol. / 700 Kg </t>
  </si>
  <si>
    <t>SERVIÇO: Fornecimento, montagem e instalação de poço tubular com conjunto de motor-bomba submersa e peças, diâmetro da tubulação até 2", profundidade da bomba entre 40m e 56m - Inclusive rede elétrica do padrão à bomba.</t>
  </si>
  <si>
    <t>73948/ 16</t>
  </si>
  <si>
    <t>74163/1</t>
  </si>
  <si>
    <t>Sinapi - 75492</t>
  </si>
  <si>
    <t>73965/015 sinapi</t>
  </si>
  <si>
    <t>73965/015</t>
  </si>
  <si>
    <t>74015/001</t>
  </si>
  <si>
    <t>75030/002</t>
  </si>
  <si>
    <t>74143/002</t>
  </si>
  <si>
    <t>Prego de aço 18 x 30</t>
  </si>
  <si>
    <t>Desmoldante para forma de madeira</t>
  </si>
  <si>
    <t>Caminhão truck para 13 toneladas</t>
  </si>
  <si>
    <t>Limpeza do terreno - Raspagem e limpeza manual com destocamento (área de bebedouro e do reservatório).</t>
  </si>
  <si>
    <t>SERVIÇO: Realização de desinfecção do poço.</t>
  </si>
  <si>
    <t>Sabão neutro</t>
  </si>
  <si>
    <t>Fornecimento de Veículo 4x4 à fiscalização com seguro, taxas de licenciamento, revisão periódica, manutenção, combustível e pneus.</t>
  </si>
  <si>
    <t>Veículo comercial leve 1.6 flex</t>
  </si>
  <si>
    <t>Comunidades dispersas na Zona Rural de diversos Municípios do Sertão Pernambucano situados na área de atuação da CODEVASF 3ª Superintendência Regional.</t>
  </si>
  <si>
    <t>Local:</t>
  </si>
  <si>
    <t>Administração local da obra.</t>
  </si>
  <si>
    <t>Limpeza do terreno - Raspagem e limpeza manual do terreno com destocamento de arvore até 15cm.</t>
  </si>
  <si>
    <t>Tubo PVC soldável para agua 32mm</t>
  </si>
  <si>
    <t>Fornecimento e assentamento de tubos em PVC, marrom, diâmetros de 32mm soldável.</t>
  </si>
  <si>
    <t>Sedimentar</t>
  </si>
  <si>
    <t>Cristalino</t>
  </si>
  <si>
    <t>Perfuração de Poço em rocha sedimentar com diâmetro de 16".</t>
  </si>
  <si>
    <t>Perfuração de Poço em rocha sedimentar com diâmetro de 12 1/4".</t>
  </si>
  <si>
    <t>Realização de Perfilagem geofísica do poço em conformidade com a NBR 12244.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</si>
  <si>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</si>
  <si>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</si>
  <si>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</si>
  <si>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</si>
  <si>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</si>
  <si>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</si>
  <si>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</si>
  <si>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</si>
  <si>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</si>
  <si>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</si>
  <si>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</si>
  <si>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</si>
  <si>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</si>
  <si>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un</t>
  </si>
  <si>
    <t>Aterro manual e/ou mecanizado de valas de adutora até 0,50m de profundidade.</t>
  </si>
  <si>
    <t>Fornecimento, montagem e instalação de portão de ferro tubular, tela em aço galvanizado, dobradiças e fechadura para passagem de pedestre, medindo 1,80m x 1,10m, incluindo mourão de sustentação.</t>
  </si>
  <si>
    <t>Aterro manual e/ou mecanizado de valas de adutora com até 0,50m de profundidade.</t>
  </si>
  <si>
    <t>OBRA: Perfuração e Instalação de Poços Tubulares e Sedimentares.</t>
  </si>
  <si>
    <t>SERVIÇO : Locação de rede de adutora para interligação de poço a reservatorio e deste ao bebedouro.</t>
  </si>
  <si>
    <t>Estação total - TOPCON GTS-212, leitura angular 1 SEG., precisão 6,0 segundos, acompanha 2,0  prismas</t>
  </si>
  <si>
    <t>Nivelador</t>
  </si>
  <si>
    <t>Topografo</t>
  </si>
  <si>
    <t>Topografo auxiliar</t>
  </si>
  <si>
    <t>Nível wild NA-2, precisão mais ou menos 0,70 mm ou similar.</t>
  </si>
  <si>
    <t>Materiais</t>
  </si>
  <si>
    <t>Locação de equipamento para perfuração (Método Geofísico).</t>
  </si>
  <si>
    <t>SERVIÇO : Perfuração de Poço em sedimentar com diâmetro de 16".</t>
  </si>
  <si>
    <t>Óleo Lubrificantes para motores e equipamentos</t>
  </si>
  <si>
    <t>SERVIÇO : Perfuração de Poço em sedimentar com diâmetro 12 1/4".</t>
  </si>
  <si>
    <t>Tubo de 6" de PVC geo-mecânico (STD).</t>
  </si>
  <si>
    <t>Tubo de 6" de PVC geo-mecânico reforçado.</t>
  </si>
  <si>
    <t>SERVIÇO: Fornecimento e instalação de Cap fêmea de ponta de tubo de 6", para impedir contaminação do poco, inclusive anel de vedação e borracha.</t>
  </si>
  <si>
    <t>CAP fêmea de 6".</t>
  </si>
  <si>
    <t>Anel de Borracha de 6".</t>
  </si>
  <si>
    <t>Anel de Borracha para tubo 6"</t>
  </si>
  <si>
    <t>Fornecimento e instalação de Cap fêmea de ponta de tubo de 6", para impedir contaminação do poço, inclusive anel de vedação e borracha.</t>
  </si>
  <si>
    <t>Fornecimento e instalação de Cap PVC geomecânico REF. Em DN 6" para vedação do fundo do filtro, inclusive anel de vedação e borracha.</t>
  </si>
  <si>
    <t>2.11</t>
  </si>
  <si>
    <t>2.12</t>
  </si>
  <si>
    <t>Quadro de comando com chave de partida direta para moteres 1,5CV com fusivel DZ de 20A e acessorios, inclusive voltimetro, amperimetro, sensores de nível, rele falta de fase.</t>
  </si>
  <si>
    <t>SERVIÇO: Fornecimento e instalação de Cap PVC geomecânico REF. Em DN 6" para vedação do fundo do filtro, inclusive anel de vedação e borracha.</t>
  </si>
  <si>
    <t>CAP PVC geomecânico REF. DN 6".</t>
  </si>
  <si>
    <t>Anel de Borracha REF. para tubo 6"</t>
  </si>
  <si>
    <t>Fornecimento, montagem e instalação de poço profundo tubular com diâmetro de 6", incluindo conjunto motor-bomba submersa e peças, diâmetro da tubulação de recalque de até 2", profundidade da bomba entre 40m e 56m, inclusive rede elétrica do quadro de comando à bomba.</t>
  </si>
  <si>
    <t>2.13</t>
  </si>
  <si>
    <t>SERVIÇO : Fornecimento e instalação de Revestimento do Poço em Tubo PVC Geomecânico STD em DN de 6" com luvas e rosca (Para poços de até no máximo 150m de profundidade).</t>
  </si>
  <si>
    <t>Tubo PVC Geomecânico STD em DN de 6"</t>
  </si>
  <si>
    <t>Óleo lubrificante</t>
  </si>
  <si>
    <t>SERVIÇO : Fornecimento e instalação de Revestimento do Poço em Tubo PVC Geomecanico REF. em DN de 6" com luvas e rosca (Para poços de 150m a 300m de profundidade).</t>
  </si>
  <si>
    <t xml:space="preserve">Fornecimento e instalação de Pré-filtro preenchido com material quartzoso previamente lavado, peneirado e selecionado com granulometria variável de 2 - 4 mm em conformidade com NBR 12244. </t>
  </si>
  <si>
    <t>SERVIÇO: Fornecimento e instalação de Filtro em Tubo de PVC Geomecanico REF. em DN de 6" com luva e rosca com aberturas de 0,5mm. (Para poços de 150m até no maximo 300m de profundidade).</t>
  </si>
  <si>
    <t>Filtro em Tubo de PVC Geomecanico REF. em DN de 6".</t>
  </si>
  <si>
    <t xml:space="preserve">Areia para leito filtrante, granulometria de 1,68mm a 0,42mm. </t>
  </si>
  <si>
    <t xml:space="preserve">SERVIÇO: Fornecimento e instalação de Pré-filtro preenchido com material quartzoso previamente lavado, peneirado e selecionado com granulometria variável de 2 - 4 mm em conformidade com NBR 12244. </t>
  </si>
  <si>
    <t>SERVIÇO: Realização de teste de vazão e de bombeamento do poço, incluindo operação e Instalação motor-bomba submersa e grupo gerador eletrico, em conformidade com a NBR 12244.</t>
  </si>
  <si>
    <t xml:space="preserve">SERVIÇO: Realização de desenvolvimento de poço realizado mediante a utilização de compressor de ar pelo método de fluxo e refluxo, inlcuindo operação e a instalação de compresor de ar, em conformidade com a NBR 12244. </t>
  </si>
  <si>
    <t>SERVIÇO: Realização de Perfilagem geofísica do poço em conformidade com a NBR 12244.</t>
  </si>
  <si>
    <t>SERVIÇO: Coleta e análise físico-química e bacteriológica da água (NR 518).</t>
  </si>
  <si>
    <t>Eletricista montador</t>
  </si>
  <si>
    <t>Auxiliar de topografia</t>
  </si>
  <si>
    <t>SERVIÇO : Elaboração de projeto e execução de rede elétrica de baixa tensão, extensão = 250m, segundo padrão CELPE com capacidade de suportar a carga do equipamento instalado. O projeto devera ser aprovado pela CELPE.</t>
  </si>
  <si>
    <t>Quadro de comando com chave de partida direta para moteres 1,5CV com fusivel DZ de 20A e acessorios.</t>
  </si>
  <si>
    <t>Luva pvc com para eletroduto</t>
  </si>
  <si>
    <t>Eletroduto de PVC rigido de 3/4".</t>
  </si>
  <si>
    <t>Talha manual para 1,5 tonelada</t>
  </si>
  <si>
    <t xml:space="preserve">Curva PVC de 180º </t>
  </si>
  <si>
    <t>Joelho pvc com rosca  2"</t>
  </si>
  <si>
    <t>Luva pvc com rosca para agua fria predial 2".</t>
  </si>
  <si>
    <t>Bomba Submersa para Poço Profundo Elétrica Potencia de 1,5CV.</t>
  </si>
  <si>
    <t>Luva pvc com rosca para eletroduto</t>
  </si>
  <si>
    <t>Joelho pvc com rosca 2"</t>
  </si>
  <si>
    <t>Luva ferro galvanizado 2"</t>
  </si>
  <si>
    <t xml:space="preserve">OBRA: </t>
  </si>
  <si>
    <t>Cabo cobre nu, bitola 25 mm².</t>
  </si>
  <si>
    <t>Cartucho de solda exotérmica nº 90.</t>
  </si>
  <si>
    <t>Eletricista ou Oficial Eletricista</t>
  </si>
  <si>
    <t>TOTAL - R$</t>
  </si>
  <si>
    <t xml:space="preserve">BDI               </t>
  </si>
  <si>
    <t xml:space="preserve">Cabo cobre nu, bitola 25 mm² </t>
  </si>
  <si>
    <t>Ajudante</t>
  </si>
  <si>
    <t xml:space="preserve">Ajudante </t>
  </si>
  <si>
    <t>Haste de aterramento com 3,0m DN= 5/8, em aço revestida com baixa camada de cobre.</t>
  </si>
  <si>
    <t>Haste de Aterramento</t>
  </si>
  <si>
    <t>Argamassa preparada com cimento e areia na proporção de 1:3.</t>
  </si>
  <si>
    <t>Bucha e arruela de alumínio fundido para eletroduto 20mm (3/4").</t>
  </si>
  <si>
    <t>cj</t>
  </si>
  <si>
    <t>Bucha e arruela de alumínio fundido para eletroduto 25mm (1").</t>
  </si>
  <si>
    <t>Disjuntor termomagnético monopolar 20A.</t>
  </si>
  <si>
    <t>Disjuntor termomagnético tripolar 50A.</t>
  </si>
  <si>
    <t>Disjuntor monofásico 35A, 2KA (220V).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</si>
  <si>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</si>
  <si>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</si>
  <si>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Pintura de superfície com latex.</t>
  </si>
  <si>
    <t>Lixa para parede ou madeira.</t>
  </si>
  <si>
    <t>Tinta latex PVA.</t>
  </si>
  <si>
    <t>Pintor</t>
  </si>
  <si>
    <t>Escavação manual.</t>
  </si>
  <si>
    <t>Pintura de superfície com tinta grafite.</t>
  </si>
  <si>
    <t>Lixa para ferro</t>
  </si>
  <si>
    <t>Tinta grafite esmalte protetora de superficie metálica.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</si>
  <si>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</si>
  <si>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</si>
  <si>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</si>
  <si>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</si>
  <si>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 xml:space="preserve">SERVIÇO: Realização de limpeza do poço e estimulação do aquifero, realizado mediante a utilização de compressor de ar pelo método de fluxo e refluxo, inlcuindo operação e a instalação de compresor de ar, em conformidade com a NBR 12244. </t>
  </si>
  <si>
    <t>Pedra - de - mão ou pedra rachão.</t>
  </si>
  <si>
    <t>Argamassa cimento e areia preparada no traço 1:3 - preparo mecânico.</t>
  </si>
  <si>
    <t>SERVIÇO: Execução de base sustentação do Reservatorio em alvenaria de pedra argamassada, diâmetro de 2,65m e altura de 1,50m, conforme projeto.</t>
  </si>
  <si>
    <t>Cimento Portland Comum CP I - 32</t>
  </si>
  <si>
    <t>brita 1</t>
  </si>
  <si>
    <t>Locação de rede de adutora para interligação de poço a reservatório e deste ao bebedouro.</t>
  </si>
  <si>
    <t>Sensor sonoro</t>
  </si>
  <si>
    <t>Areia para aterro</t>
  </si>
  <si>
    <t>320 l 5,5HP</t>
  </si>
  <si>
    <t>Betoneira com capacidade de 400l. Motor Diesel de 7 HP</t>
  </si>
  <si>
    <t>Quadro de comando com chave de partida direta para moteres 3CV com fusivel DZ de 20A e acessorios.</t>
  </si>
  <si>
    <t>Bomba Submersa para Poço Profundo Elétrica Potencia de 3CV.</t>
  </si>
  <si>
    <t>Outorga de uso de recursos hídricos obtido no CPRH-PE.</t>
  </si>
  <si>
    <t>Eletroduto PVC 2"</t>
  </si>
  <si>
    <t>Eletroduto PVC com rosca 3/4"</t>
  </si>
  <si>
    <t>Armação secundária, 1 estribo, com haste de diâmetro de 16mm por 150 mm de comprimento</t>
  </si>
  <si>
    <t>Quadro de comando com chave de partida direta para moteres 3CV com fusivel DZ de 20A e acessorios, inclusive voltimetro, amperimetro, sensores de nível, rele falta de fase.</t>
  </si>
  <si>
    <t>SERVIÇO : Desobstrução de poço.</t>
  </si>
  <si>
    <t>2.14</t>
  </si>
  <si>
    <t>Argamassa cimento e areia preparada no traço 1:4 para revestimento da alvenaria de pedra - preparo mecânico.</t>
  </si>
  <si>
    <t>Areia para aterro.</t>
  </si>
  <si>
    <t>Armação secundaria, 1 estribo, com haste de diametro de 16mm por 150 mm de comprimento.</t>
  </si>
  <si>
    <t>Alça pré-formada de distribuição.</t>
  </si>
  <si>
    <t>Alça pré-formada de linha .</t>
  </si>
  <si>
    <t>Pedra britada  nº1</t>
  </si>
  <si>
    <t>4.13</t>
  </si>
  <si>
    <t xml:space="preserve">Caixa para medição de energia completo monofásico, inclusive haste de aterramento, condutores, conectores, caixa para disjuntor, bucha, arruela e tubo, padrão CELPE.  </t>
  </si>
  <si>
    <t xml:space="preserve">Caixa para medição de energia completo trifásico, inclusive haste de aterramento, condutores, conectores, caixa para disjuntor, bucha, arruela e tubo, padrão CELPE.  </t>
  </si>
  <si>
    <t>SERVIÇO: Fornecimento e montagem de quadro de medição no padrão CELPE para 3 ou 4 fios, inclusive haste de aterramento, condutores, conectores, eletroduto, caixa para disjuntor, bucha, arruela e tubo.</t>
  </si>
  <si>
    <t xml:space="preserve">Caixa para medição de energia completo monofásico, inclusive haste de aterramento, condutores, conectores, eletroduto, caixa para disjuntor, bucha, arruela e tubo, padrão CELPE. </t>
  </si>
  <si>
    <t>Montagem, instalação e desinstalação de Sonda/perfuratriz.</t>
  </si>
  <si>
    <t>SERVIÇO : Montagem, instalação e desinstalação de Sonda.</t>
  </si>
  <si>
    <t>Fornecimento e montagem de quadro de medição no padrão CELPE para 3 ou 4 fios, inclusive haste de aterramento, condutores, conectores, eletroduto, disjuntor, caixa para disjuntor, bucha e arruela.</t>
  </si>
  <si>
    <t>Construção de laje de proteção sanitária em concreto armado para qualquer tipo de estrutura, inclusive forma e ferragens, nas dimensões-1,0m x 1,0m x 0,15m, com declividade de 2% em relação ao centro do poço para as bordas em conformidade com a NBR 12244.</t>
  </si>
  <si>
    <t>Montagem, instalação e desinstalação de sonda.</t>
  </si>
  <si>
    <t>SERVIÇO : Montagem, instalação e desinstalação de sonda.</t>
  </si>
  <si>
    <t>Realização de teste de vazão e de bombeamento do poço, incluindo operação e Instalação motor-bomba submersa e grupo gerador elétrico, em conformidade com a NBR 12244.</t>
  </si>
  <si>
    <t>Elaboração de projeto e execução de rede elétrica de baixa tensão, extensão igual a 250m, segundo padrão CELPE com capacidade de suportar a carga do equipamento instalado. O projeto devera ser aprovado pela CELPE.</t>
  </si>
  <si>
    <t>Bomba Submersa para Poço Profundo Elétrica Monofásica 3CV.</t>
  </si>
  <si>
    <t>Perfuração e Instalação Poços Tubulares, no Estado de Pernambuco.</t>
  </si>
  <si>
    <t>Caminhão trucado c/ carroceria de madeira fixa Cap. 10 a 12T, inclusive manutenção e operação.</t>
  </si>
  <si>
    <t xml:space="preserve">
</t>
  </si>
  <si>
    <t>Estação total - TOPCON GTS-212, leitura angular 1 SEG., precisão 6,0 segundos, acompanha 2,0  prismas.</t>
  </si>
  <si>
    <t>Tampa em concreto armado FCK 15MPA, diâmetro de 2,60m e espessura de 5cm, inclusive forma e ferragens.</t>
  </si>
  <si>
    <t>SERVIÇO : Construção de laje de proteção sanitária em concreto armado aparente pronto Fck 15 Mpa, virado em Betoneira, na obra, incluindo aplicação e adensamento, inclusive forma, escoramento e ferragem.</t>
  </si>
  <si>
    <t>SERVIÇO AUXILIAR: Argamassa cimento e areia preparada no traço 1:4 - preparo mecânico.</t>
  </si>
  <si>
    <t>SERVIÇO AUXILIAR: Pintura de superfície com latex.</t>
  </si>
  <si>
    <t>SERVIÇO AUXILIAR: Pintura de superfície com tinta grafite.</t>
  </si>
  <si>
    <t>Arame galvanizado fio 16 bwg - 4 x 4 23,50 kg Rolo 500m.</t>
  </si>
  <si>
    <t>Tabua de madeira mista de 30 x 2,5cm.</t>
  </si>
  <si>
    <t>Caminhonete utilitária cabine dupla - CD SR 3.0 diesel 4x4 163 CV</t>
  </si>
  <si>
    <t>Geólogo (engenheiro pleno)</t>
  </si>
  <si>
    <t>Geólogo (engenheiro junior)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</si>
  <si>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</si>
  <si>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</si>
  <si>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</si>
  <si>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</si>
  <si>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</si>
  <si>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</si>
  <si>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</si>
  <si>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</si>
  <si>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</si>
  <si>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</si>
  <si>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</si>
  <si>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</si>
  <si>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</si>
  <si>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</si>
  <si>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</si>
  <si>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</si>
  <si>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2.7</t>
  </si>
  <si>
    <t>2.8</t>
  </si>
  <si>
    <t>2.15</t>
  </si>
  <si>
    <t>Poços Sedimentares - Montagem e Instalação.</t>
  </si>
  <si>
    <t>Execução de bebedouro em alvenaria de tijolo cerâmico incluindo a instalação hidráulica.</t>
  </si>
  <si>
    <t>SERVIÇO: Execução de bebedouro em alvenaria de tijolo cerâmico incluindo a instalação hidráulica.</t>
  </si>
  <si>
    <t>2.14.A</t>
  </si>
  <si>
    <t>DATA: Maio/2013</t>
  </si>
  <si>
    <t>SERVIÇO : Abrigo de proteção para quadro de comando de bomba.</t>
  </si>
  <si>
    <t>Tubo de PVC EDUTOR AZUL de 2" roscavel conexções e acessorios.</t>
  </si>
  <si>
    <t xml:space="preserve">SERVIÇO: Fornecimento, montagem e instalação de poço tubular com conjunto de motor-bomba submersa, monofásico, 220 volts, 60 Hz, com motor lubrificado e refrigerado a água, acoplado a bombeador multiestágio com válvula de retenção incorporada e retores em bronze, diâmetro da tubulação até 2", capaz de vencer uma altura manométrica mínima de 200 mca com vazão média de 15 m³/h, incluindo quadro de comando compativel com o modelo de bomba instalada e 250 m de cabo, flexivel, trifásico, isolado, tensão de 600V/1000V em conformidade com a NBR 7288 e diâmetro compatível com a bomba. </t>
  </si>
  <si>
    <t>Execução de abrigo/casa de comando para quadro de comando da moto bomba.</t>
  </si>
  <si>
    <t>SERVIÇO: Montagem de sistema de aterramento com haste de aterrameto tipo Copperwelder, conetor e cabo de cobre nú combitola de 25 mm² para proteção de sistema eletrico em conformidade com a NBR 5410.</t>
  </si>
  <si>
    <t>2.12.A</t>
  </si>
  <si>
    <t>2.12.B</t>
  </si>
  <si>
    <t>Tubo de PVC soldavel de 32mm com conexões.</t>
  </si>
  <si>
    <t>Torneira plástica de 1/2".</t>
  </si>
  <si>
    <t>Abrigo de proteção para quadro de comando de bomba.</t>
  </si>
  <si>
    <t>Cabo cobre isolante 4mm anti-chama.</t>
  </si>
  <si>
    <t>Hidrômetro 7,0 m³</t>
  </si>
  <si>
    <t>Torneira de boia real 1/2" c/ balão plástico</t>
  </si>
  <si>
    <t>Adaptador PVC roscável c/flanges e anes de vedação p/ caixa d'água 2"</t>
  </si>
  <si>
    <t>Adaptador PVC roscável c/flanges e anes de vedação p/ caixa d'água 1"</t>
  </si>
  <si>
    <t>Poços Cristalinos - Montagem e Instalação com bomba submersa.</t>
  </si>
  <si>
    <t>Concreto FCK=15MPA (1:2,5:3) ,incluído preparo mecânico, lançamantro e adensamento</t>
  </si>
  <si>
    <t>falta composição auxiliar 73406 SINAPI</t>
  </si>
  <si>
    <t>SERVIÇO: Cerca em mourões de concreto com fechamento em arame farpado de onze fiadas.</t>
  </si>
  <si>
    <t>Poços Sedimentares profundidade média 180m</t>
  </si>
  <si>
    <t>Tubo de PVC EDUTOR AZUL de 2" roscavel conexões e acessorios.</t>
  </si>
  <si>
    <t>horista</t>
  </si>
  <si>
    <t>mensalista</t>
  </si>
  <si>
    <t>Tubo PVC roscável  EB - 892 p/ agua fria predial 1".</t>
  </si>
  <si>
    <t>par</t>
  </si>
  <si>
    <t>Dados da tabela consultiva da Codevasf</t>
  </si>
  <si>
    <t>Cataventos do Nordeste</t>
  </si>
  <si>
    <t>Obtenção junto aos órgãos competente da Outorga de funcionamento e uso de recursos hídricos - CPRH/PE.</t>
  </si>
  <si>
    <t>Leis Sociais : 91,03 % - adotado</t>
  </si>
  <si>
    <t>Escavação manual de vala de fundação em material de 1 ª categoria, com dimensões de 0,40m x 0,30m, incluindo regularização manual do fundo da vala.</t>
  </si>
  <si>
    <t>Execução de base sustentação do reservatório em alvenaria de pedra argamassada, diâmetro de 2,60m e altura de 1,50m, conforme projeto.</t>
  </si>
  <si>
    <t>Montagem de sistema de aterramento com haste de aterramento tipo Copperwelder, conector e cabo de cobre nu com bitola de 25 mm² para proteção de sistema elétrico em conformidade com a NBR 5410.</t>
  </si>
  <si>
    <t>Fornecimento e assentamento de tubos e conexões em PVC tipo Edutor, azul, Diâmetro Nominal de 50 mm, (interligação do poço a caixa do reservatório).</t>
  </si>
  <si>
    <t>Fornecimento e montagem de cerca de proteção construída com mourões de concreto armado  (H=2,5 m), com ponta virada e com 8 fios de arame farpado, incluindo chumbamento e arame de fixação.</t>
  </si>
  <si>
    <t>Elaboração de projeto e execução de rede elétrica de baixa tensão, com extensão de 200m, com cabo de alumínio de 25 mm² (3+1), incluído aprovação junto a concessionária.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</si>
  <si>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</si>
  <si>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 xml:space="preserve">Realização de desenvolvimento e estimulação do aquífero de poço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</si>
  <si>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</si>
  <si>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do teste de vazão do poço, incluindo instalação e desinstalação de Compressor, combustível e operador.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</si>
  <si>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</si>
  <si>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</si>
  <si>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Execução de base sustentação do Reservatório em alvenaria de pedra argamassada, diâmetro de 2,60m e altura de 1,50m, conforme projeto.</t>
  </si>
  <si>
    <t xml:space="preserve">Fornecimento, montagem e instalação de poço tubular com conjunto de motor-bomba submersa, monofásico, 220 volts, 60 Hz, com motor lubrificado e refrigerado a água, acoplado a bombeador multiestágio com válvula de retenção incorporada e reatores em bronze, diâmetro da tubulação até 4", capaz de vencer uma altura manométrica mínima de 200 mca com vazão média de 15 m³/h, incluindo quadro de comando compatível com o modelo de bomba instalada e 250 m de cabo, flexível, trifásico, isolado, tensão de 600V/1000V em conformidade com a NBR 7288 e diâmetro compatível com a bomba. </t>
  </si>
  <si>
    <t>Fornecimento e assentamento de tubos e conexões em PVC soldável, com Diâmetro Nominal de 32mm para interligação do Poço ao Reservatório e deste ao bebedouro.</t>
  </si>
  <si>
    <t>Escavação manual de vala em material de 1 ª categoria, com dimensões de 0,40m x 0,30m, para instalação de rede de adutora, incluindo regularização manual do fundo da vala e espalhamento de material.</t>
  </si>
  <si>
    <t xml:space="preserve">Realização de Análise Físico-Química e bacteriológica da água em conformidade com a NR 518, incluindo a coleta, taxas e transporte. </t>
  </si>
  <si>
    <t>Fornecimento e instalação de Revestimento do Poço em Tubo PVC Geomecânico STD em DN de 6" com luvas e rosca (Para poços de até no máximo 150m de profundidade).</t>
  </si>
  <si>
    <t>Fornecimento e instalação de Revestimento do Poço em Tubo PVC Geomecânico REF. em DN de 6" com luvas e rosca (Para poços de 150m a 300m de profundidade).</t>
  </si>
  <si>
    <t>Fornecimento e aplicação de nata de cimento para cimentação anelar e isolamento de aquíferos e proteção sanitária em conformidade com a NBR 12244.</t>
  </si>
  <si>
    <t>Fornecimento e instalação de Filtro em Tubo de PVC Geomecânico REF. em DN de 6" com luva e rosca com aberturas de 0,5mm. (Para poços de 150m até no máximo 300m de profundidade).</t>
  </si>
  <si>
    <t xml:space="preserve">Realização de desenvolvimento e estimulação do aquífero de poço realizado mediante a utilização de compressor de ar pelo método de fluxo e refluxo, incluindo operação e a instalação de compressor de ar, em conformidade com a NBR 12244. </t>
  </si>
  <si>
    <t>Desinfecção de poço com hipoclorito de cálcio com permanência da solução no interior do poço por período não inferior a 2h, em conformidade com a NBR 12244.</t>
  </si>
  <si>
    <t>Cadista (encargos mensalista)</t>
  </si>
  <si>
    <t>Adaptador pvc soldável com bolsa e rosca para registro 2''.</t>
  </si>
  <si>
    <t>Engenheiro elétricista júnior (encargos mensalista)</t>
  </si>
  <si>
    <t>Poços Cristalinos profundidade média 60m</t>
  </si>
  <si>
    <t>SERVIÇO : Administração local</t>
  </si>
  <si>
    <t>4.14</t>
  </si>
  <si>
    <t>4.15</t>
  </si>
  <si>
    <t>4.16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</si>
  <si>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</si>
  <si>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</si>
  <si>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</si>
  <si>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</si>
  <si>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</si>
  <si>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</si>
  <si>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</si>
  <si>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</si>
  <si>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</si>
  <si>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</si>
  <si>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</si>
  <si>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</si>
  <si>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</si>
  <si>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</si>
  <si>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</si>
  <si>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</si>
  <si>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</si>
  <si>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</si>
  <si>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</si>
  <si>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</si>
  <si>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</si>
  <si>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</si>
  <si>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</si>
  <si>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</si>
  <si>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Salário  /  1,9103%</t>
  </si>
  <si>
    <t>I7377</t>
  </si>
  <si>
    <t>ORSE</t>
  </si>
  <si>
    <t>05021</t>
  </si>
  <si>
    <t>05022</t>
  </si>
  <si>
    <t>Análise bacteriológica de água</t>
  </si>
  <si>
    <t>Análise físico-química de água</t>
  </si>
  <si>
    <t>Transporte de Tubo PVC DN 50mm. (73595 SINAPI)</t>
  </si>
  <si>
    <t>Transporte de Tubo PVC DN 32mm. (73596 SINAPI)</t>
  </si>
  <si>
    <t>Transporte de tubos de PVC 25mm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</si>
  <si>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</si>
  <si>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SEINFRA/CE</t>
  </si>
  <si>
    <t>Hidroplastic REV004 31/5/12</t>
  </si>
  <si>
    <t>Hidroplastic FIL004 31/5/12</t>
  </si>
  <si>
    <t>Hidroplastic EDU003 31/5/12</t>
  </si>
  <si>
    <t>SERVIÇO: Placa de identificação do serviço - Fornecimento, instalação e manutenção.</t>
  </si>
  <si>
    <t>DETALHAMENTO DO BDI - SERVIÇOS</t>
  </si>
  <si>
    <t>CD:</t>
  </si>
  <si>
    <t>Item</t>
  </si>
  <si>
    <t>Descrição dos Serviços</t>
  </si>
  <si>
    <t>Valor</t>
  </si>
  <si>
    <t>BDI</t>
  </si>
  <si>
    <t>VARIÁVEIS CORRELATAS DE INTERESSE</t>
  </si>
  <si>
    <t>PV</t>
  </si>
  <si>
    <t>CD</t>
  </si>
  <si>
    <t>(R$)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</si>
  <si>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</si>
  <si>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</si>
  <si>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</si>
  <si>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</si>
  <si>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</si>
  <si>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</si>
  <si>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</si>
  <si>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</si>
  <si>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</si>
  <si>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</si>
  <si>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</si>
  <si>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</si>
  <si>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</si>
  <si>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</si>
  <si>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</si>
  <si>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</si>
  <si>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</si>
  <si>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</si>
  <si>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</si>
  <si>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</si>
  <si>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</si>
  <si>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</si>
  <si>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BDI = ((1+a+r+f)/(1-(i+l))-1)*100</t>
  </si>
  <si>
    <t>LUCRO</t>
  </si>
  <si>
    <t>BDI (%)</t>
  </si>
  <si>
    <t xml:space="preserve">PV = </t>
  </si>
  <si>
    <t>calculado</t>
  </si>
  <si>
    <t>adotado</t>
  </si>
  <si>
    <t>Obs. A taxa de ISS posta no cálculo do BDI corresponde a 50% do referido imposto cobrado no município.</t>
  </si>
  <si>
    <t>Sarrafo de madeira mista para intertravamento medindo 4 cm x 5 cm.</t>
  </si>
  <si>
    <t>Bomba submersa 4" para poço profundo Elétrica Monofásica 1,5CV, saída de 1/ 1/2 marca dancor.</t>
  </si>
  <si>
    <t>Adaptador pvc soldável com bolsa e rosca para registro 2''</t>
  </si>
  <si>
    <t>EXECUÇÃO DAS OBRAS E SERVIÇOS DE PERFURAÇÃO, MONTAGEM E INSTALAÇÃO DE POÇOS TUBULARES, CONSTRUÍDOS EM SOLO PREDOMINANTEMENTE CRISTALINO E SEDIMENTAR, EM COMUNIDADES DISPERSAS DE DIVERSOS MUNICÍPIOS DO ESTADO DE PERNAMBUCO. ÁREA DE ATUAÇÃO DA CODEVASF – 3ª SUPERINTENDÊNCIA REGIONAL DA CODEVASF.</t>
  </si>
  <si>
    <t>Caixa de água de fibra com capacidade de armazenamento 5m³.</t>
  </si>
  <si>
    <t>00463</t>
  </si>
  <si>
    <t>Caixa de água de 5m³.</t>
  </si>
  <si>
    <t>Fornecimento e instalação de caixa d'água de fibra de 5m³, sobre base de alvenaria pedra argamassada, incluído barrilete, tubulação de dreno, lavagem e ladrão.</t>
  </si>
  <si>
    <t>Fornecimento e instalação de caixa d'água de fibra de 5m³, sobre base de alvenaria pedra argamassada, incluído barrilhete, tubulação de dreno, lavagem e ladrão.</t>
  </si>
  <si>
    <t>SERVIÇO: Fornecimento e instalação de caixa d'água de fibra de 5m³, sobre base de alvenaria pedra argamassada, incluido barrilhete, tubulação de dreno, lavagem e ladrão.</t>
  </si>
  <si>
    <t>outubro/2013</t>
  </si>
  <si>
    <t xml:space="preserve"> Perfuração de Poços Tubulares - PALMA</t>
  </si>
  <si>
    <t xml:space="preserve">                                   Data Base : AGOSTO / 2013</t>
  </si>
  <si>
    <t>DATA:   agosto/2013</t>
  </si>
</sst>
</file>

<file path=xl/styles.xml><?xml version="1.0" encoding="utf-8"?>
<styleSheet xmlns="http://schemas.openxmlformats.org/spreadsheetml/2006/main">
  <numFmts count="17">
    <numFmt numFmtId="43" formatCode="_(* #,##0.00_);_(* \(#,##0.00\);_(* &quot;-&quot;??_);_(@_)"/>
    <numFmt numFmtId="164" formatCode="_-* #,##0.00_-;\-* #,##0.00_-;_-* &quot;-&quot;??_-;_-@_-"/>
    <numFmt numFmtId="165" formatCode="_(* #,##0.00_);_(* \(#,##0.00\);_(* \-??_);_(@_)"/>
    <numFmt numFmtId="166" formatCode="#,##0.000"/>
    <numFmt numFmtId="167" formatCode="0.0000"/>
    <numFmt numFmtId="168" formatCode="mmm\-yy"/>
    <numFmt numFmtId="169" formatCode="0.0"/>
    <numFmt numFmtId="170" formatCode="0.00000"/>
    <numFmt numFmtId="171" formatCode="0.000"/>
    <numFmt numFmtId="172" formatCode="#,##0.00\ ;&quot; (&quot;#,##0.00\);&quot; -&quot;#\ ;@\ "/>
    <numFmt numFmtId="173" formatCode="_(&quot;R$ &quot;* #,##0_);_(&quot;R$ &quot;* \(#,##0\);_(&quot;R$ &quot;* \-_);_(@_)"/>
    <numFmt numFmtId="174" formatCode="#,##0.000000"/>
    <numFmt numFmtId="175" formatCode="_(&quot;R$ &quot;* #,##0.00_);_(&quot;R$ &quot;* \(#,##0.00\);_(&quot;R$ &quot;* \-??_);_(@_)"/>
    <numFmt numFmtId="176" formatCode="#,##0.00000"/>
    <numFmt numFmtId="177" formatCode="_-* #,##0.00_-;\-* #,##0.00_-;_-* \-??_-;_-@_-"/>
    <numFmt numFmtId="178" formatCode="#,##0.0000"/>
    <numFmt numFmtId="179" formatCode="&quot;R$ &quot;#,##0.00"/>
  </numFmts>
  <fonts count="52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2"/>
      <color indexed="48"/>
      <name val="Times New Roman"/>
      <family val="1"/>
    </font>
    <font>
      <sz val="12"/>
      <color indexed="50"/>
      <name val="Times New Roman"/>
      <family val="1"/>
    </font>
    <font>
      <sz val="12"/>
      <color indexed="46"/>
      <name val="Times New Roman"/>
      <family val="1"/>
    </font>
    <font>
      <sz val="12"/>
      <color indexed="15"/>
      <name val="Times New Roman"/>
      <family val="1"/>
    </font>
    <font>
      <sz val="12"/>
      <color indexed="60"/>
      <name val="Times New Roman"/>
      <family val="1"/>
    </font>
    <font>
      <sz val="12"/>
      <color indexed="14"/>
      <name val="Times New Roman"/>
      <family val="1"/>
    </font>
    <font>
      <sz val="12"/>
      <color indexed="20"/>
      <name val="Times New Roman"/>
      <family val="1"/>
    </font>
    <font>
      <sz val="12"/>
      <color indexed="45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b/>
      <sz val="12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indexed="56"/>
      <name val="Times New Roman"/>
      <family val="1"/>
    </font>
    <font>
      <b/>
      <sz val="12"/>
      <color indexed="48"/>
      <name val="Times New Roman"/>
      <family val="1"/>
    </font>
    <font>
      <sz val="11"/>
      <name val="Times New Roman"/>
      <family val="1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99FF99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</fills>
  <borders count="1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</borders>
  <cellStyleXfs count="7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3" fontId="3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4" fontId="39" fillId="0" borderId="0" applyFill="0" applyBorder="0" applyAlignment="0" applyProtection="0"/>
    <xf numFmtId="0" fontId="40" fillId="0" borderId="0"/>
    <xf numFmtId="3" fontId="39" fillId="0" borderId="0"/>
    <xf numFmtId="0" fontId="8" fillId="3" borderId="0" applyNumberFormat="0" applyBorder="0" applyAlignment="0" applyProtection="0"/>
    <xf numFmtId="0" fontId="44" fillId="0" borderId="0"/>
    <xf numFmtId="175" fontId="39" fillId="0" borderId="0" applyFill="0" applyBorder="0" applyAlignment="0" applyProtection="0"/>
    <xf numFmtId="0" fontId="9" fillId="22" borderId="0" applyNumberFormat="0" applyBorder="0" applyAlignment="0" applyProtection="0"/>
    <xf numFmtId="0" fontId="39" fillId="0" borderId="0"/>
    <xf numFmtId="0" fontId="39" fillId="0" borderId="0"/>
    <xf numFmtId="3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3" fontId="39" fillId="0" borderId="0"/>
    <xf numFmtId="0" fontId="39" fillId="23" borderId="4" applyNumberFormat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0" fontId="10" fillId="16" borderId="5" applyNumberFormat="0" applyAlignment="0" applyProtection="0"/>
    <xf numFmtId="165" fontId="39" fillId="0" borderId="0" applyFill="0" applyBorder="0" applyAlignment="0" applyProtection="0"/>
    <xf numFmtId="171" fontId="39" fillId="0" borderId="0" applyFill="0" applyBorder="0" applyAlignment="0" applyProtection="0"/>
    <xf numFmtId="171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7" fontId="3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43" fontId="39" fillId="0" borderId="0" applyFont="0" applyFill="0" applyBorder="0" applyAlignment="0" applyProtection="0"/>
  </cellStyleXfs>
  <cellXfs count="801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0" fontId="18" fillId="24" borderId="0" xfId="0" applyFont="1" applyFill="1" applyBorder="1" applyAlignment="1">
      <alignment horizontal="center"/>
    </xf>
    <xf numFmtId="2" fontId="21" fillId="24" borderId="0" xfId="0" applyNumberFormat="1" applyFont="1" applyFill="1" applyBorder="1" applyAlignment="1">
      <alignment horizontal="center"/>
    </xf>
    <xf numFmtId="0" fontId="21" fillId="24" borderId="0" xfId="0" applyFont="1" applyFill="1" applyBorder="1" applyAlignment="1">
      <alignment horizontal="center"/>
    </xf>
    <xf numFmtId="4" fontId="23" fillId="24" borderId="0" xfId="0" applyNumberFormat="1" applyFont="1" applyFill="1" applyBorder="1"/>
    <xf numFmtId="0" fontId="18" fillId="24" borderId="0" xfId="0" applyFont="1" applyFill="1" applyBorder="1"/>
    <xf numFmtId="2" fontId="18" fillId="24" borderId="0" xfId="0" applyNumberFormat="1" applyFont="1" applyFill="1" applyBorder="1"/>
    <xf numFmtId="2" fontId="24" fillId="24" borderId="0" xfId="0" applyNumberFormat="1" applyFont="1" applyFill="1" applyBorder="1"/>
    <xf numFmtId="2" fontId="18" fillId="24" borderId="0" xfId="0" applyNumberFormat="1" applyFont="1" applyFill="1" applyBorder="1" applyAlignment="1">
      <alignment horizontal="left"/>
    </xf>
    <xf numFmtId="4" fontId="18" fillId="24" borderId="0" xfId="0" applyNumberFormat="1" applyFont="1" applyFill="1"/>
    <xf numFmtId="0" fontId="21" fillId="24" borderId="0" xfId="0" applyFont="1" applyFill="1" applyBorder="1" applyAlignment="1">
      <alignment horizontal="left"/>
    </xf>
    <xf numFmtId="2" fontId="18" fillId="24" borderId="0" xfId="0" applyNumberFormat="1" applyFont="1" applyFill="1" applyBorder="1" applyAlignment="1">
      <alignment horizontal="right"/>
    </xf>
    <xf numFmtId="2" fontId="25" fillId="24" borderId="0" xfId="0" applyNumberFormat="1" applyFont="1" applyFill="1" applyBorder="1"/>
    <xf numFmtId="2" fontId="21" fillId="24" borderId="0" xfId="0" applyNumberFormat="1" applyFont="1" applyFill="1" applyBorder="1" applyAlignment="1">
      <alignment horizontal="left"/>
    </xf>
    <xf numFmtId="2" fontId="26" fillId="24" borderId="0" xfId="0" applyNumberFormat="1" applyFont="1" applyFill="1" applyBorder="1"/>
    <xf numFmtId="0" fontId="18" fillId="24" borderId="0" xfId="0" applyFont="1" applyFill="1" applyBorder="1" applyAlignment="1">
      <alignment horizontal="left"/>
    </xf>
    <xf numFmtId="2" fontId="27" fillId="24" borderId="0" xfId="0" applyNumberFormat="1" applyFont="1" applyFill="1" applyBorder="1"/>
    <xf numFmtId="2" fontId="19" fillId="24" borderId="0" xfId="0" applyNumberFormat="1" applyFont="1" applyFill="1" applyBorder="1" applyAlignment="1">
      <alignment horizontal="left"/>
    </xf>
    <xf numFmtId="2" fontId="18" fillId="24" borderId="0" xfId="0" applyNumberFormat="1" applyFont="1" applyFill="1" applyBorder="1" applyAlignment="1">
      <alignment horizontal="center"/>
    </xf>
    <xf numFmtId="4" fontId="18" fillId="24" borderId="0" xfId="0" applyNumberFormat="1" applyFont="1" applyFill="1" applyBorder="1" applyAlignment="1">
      <alignment horizontal="right"/>
    </xf>
    <xf numFmtId="4" fontId="28" fillId="24" borderId="0" xfId="0" applyNumberFormat="1" applyFont="1" applyFill="1" applyBorder="1" applyAlignment="1">
      <alignment horizontal="right"/>
    </xf>
    <xf numFmtId="4" fontId="21" fillId="24" borderId="0" xfId="0" applyNumberFormat="1" applyFont="1" applyFill="1" applyBorder="1" applyAlignment="1">
      <alignment horizontal="right"/>
    </xf>
    <xf numFmtId="4" fontId="29" fillId="24" borderId="0" xfId="0" applyNumberFormat="1" applyFont="1" applyFill="1" applyBorder="1"/>
    <xf numFmtId="2" fontId="30" fillId="24" borderId="0" xfId="0" applyNumberFormat="1" applyFont="1" applyFill="1" applyBorder="1"/>
    <xf numFmtId="4" fontId="31" fillId="0" borderId="0" xfId="0" applyNumberFormat="1" applyFont="1"/>
    <xf numFmtId="4" fontId="31" fillId="24" borderId="10" xfId="48" applyNumberFormat="1" applyFont="1" applyFill="1" applyBorder="1" applyAlignment="1">
      <alignment horizontal="left" vertical="center"/>
    </xf>
    <xf numFmtId="4" fontId="31" fillId="24" borderId="11" xfId="48" applyNumberFormat="1" applyFont="1" applyFill="1" applyBorder="1" applyAlignment="1">
      <alignment horizontal="center" vertical="center" wrapText="1"/>
    </xf>
    <xf numFmtId="4" fontId="31" fillId="24" borderId="12" xfId="48" applyNumberFormat="1" applyFont="1" applyFill="1" applyBorder="1" applyAlignment="1">
      <alignment horizontal="center" vertical="center" wrapText="1"/>
    </xf>
    <xf numFmtId="4" fontId="31" fillId="24" borderId="13" xfId="48" applyNumberFormat="1" applyFont="1" applyFill="1" applyBorder="1" applyAlignment="1">
      <alignment horizontal="center" vertical="center" wrapText="1"/>
    </xf>
    <xf numFmtId="4" fontId="31" fillId="0" borderId="14" xfId="48" applyNumberFormat="1" applyFont="1" applyBorder="1" applyAlignment="1">
      <alignment horizontal="left" vertical="center"/>
    </xf>
    <xf numFmtId="4" fontId="31" fillId="24" borderId="15" xfId="48" applyNumberFormat="1" applyFont="1" applyFill="1" applyBorder="1" applyAlignment="1">
      <alignment horizontal="center"/>
    </xf>
    <xf numFmtId="4" fontId="31" fillId="24" borderId="12" xfId="48" applyNumberFormat="1" applyFont="1" applyFill="1" applyBorder="1" applyAlignment="1">
      <alignment horizontal="center"/>
    </xf>
    <xf numFmtId="4" fontId="31" fillId="24" borderId="11" xfId="48" applyNumberFormat="1" applyFont="1" applyFill="1" applyBorder="1" applyAlignment="1">
      <alignment horizontal="center"/>
    </xf>
    <xf numFmtId="4" fontId="31" fillId="24" borderId="12" xfId="48" applyNumberFormat="1" applyFont="1" applyFill="1" applyBorder="1" applyAlignment="1">
      <alignment horizontal="right"/>
    </xf>
    <xf numFmtId="4" fontId="31" fillId="24" borderId="13" xfId="48" applyNumberFormat="1" applyFont="1" applyFill="1" applyBorder="1" applyAlignment="1">
      <alignment horizontal="center"/>
    </xf>
    <xf numFmtId="4" fontId="31" fillId="24" borderId="11" xfId="48" applyNumberFormat="1" applyFont="1" applyFill="1" applyBorder="1" applyAlignment="1">
      <alignment horizontal="left"/>
    </xf>
    <xf numFmtId="4" fontId="31" fillId="24" borderId="14" xfId="48" applyNumberFormat="1" applyFont="1" applyFill="1" applyBorder="1" applyAlignment="1">
      <alignment horizontal="center" vertical="center"/>
    </xf>
    <xf numFmtId="4" fontId="31" fillId="24" borderId="12" xfId="48" applyNumberFormat="1" applyFont="1" applyFill="1" applyBorder="1" applyAlignment="1">
      <alignment horizontal="right" vertical="center"/>
    </xf>
    <xf numFmtId="4" fontId="31" fillId="24" borderId="12" xfId="48" applyNumberFormat="1" applyFont="1" applyFill="1" applyBorder="1" applyAlignment="1">
      <alignment horizontal="center" vertical="center"/>
    </xf>
    <xf numFmtId="4" fontId="31" fillId="0" borderId="14" xfId="48" applyNumberFormat="1" applyFont="1" applyFill="1" applyBorder="1" applyAlignment="1">
      <alignment wrapText="1"/>
    </xf>
    <xf numFmtId="4" fontId="31" fillId="0" borderId="12" xfId="48" applyNumberFormat="1" applyFont="1" applyFill="1" applyBorder="1" applyAlignment="1">
      <alignment horizontal="center" vertical="center"/>
    </xf>
    <xf numFmtId="4" fontId="31" fillId="0" borderId="12" xfId="48" applyNumberFormat="1" applyFont="1" applyFill="1" applyBorder="1" applyAlignment="1">
      <alignment horizontal="right" vertical="center"/>
    </xf>
    <xf numFmtId="4" fontId="33" fillId="0" borderId="0" xfId="0" applyNumberFormat="1" applyFont="1"/>
    <xf numFmtId="4" fontId="31" fillId="4" borderId="12" xfId="48" applyNumberFormat="1" applyFont="1" applyFill="1" applyBorder="1" applyAlignment="1">
      <alignment horizontal="center"/>
    </xf>
    <xf numFmtId="4" fontId="31" fillId="24" borderId="14" xfId="48" applyNumberFormat="1" applyFont="1" applyFill="1" applyBorder="1" applyAlignment="1">
      <alignment horizontal="left" vertical="center"/>
    </xf>
    <xf numFmtId="4" fontId="31" fillId="24" borderId="16" xfId="48" applyNumberFormat="1" applyFont="1" applyFill="1" applyBorder="1" applyAlignment="1">
      <alignment horizontal="right" vertical="center"/>
    </xf>
    <xf numFmtId="4" fontId="32" fillId="24" borderId="0" xfId="48" applyNumberFormat="1" applyFont="1" applyFill="1" applyBorder="1" applyAlignment="1">
      <alignment horizontal="left" vertical="center"/>
    </xf>
    <xf numFmtId="4" fontId="31" fillId="4" borderId="12" xfId="48" applyNumberFormat="1" applyFont="1" applyFill="1" applyBorder="1" applyAlignment="1">
      <alignment horizontal="center" vertical="center"/>
    </xf>
    <xf numFmtId="4" fontId="31" fillId="24" borderId="12" xfId="33" applyNumberFormat="1" applyFont="1" applyFill="1" applyBorder="1" applyAlignment="1">
      <alignment horizontal="center"/>
    </xf>
    <xf numFmtId="4" fontId="31" fillId="0" borderId="12" xfId="48" applyNumberFormat="1" applyFont="1" applyFill="1" applyBorder="1" applyAlignment="1">
      <alignment horizontal="center"/>
    </xf>
    <xf numFmtId="4" fontId="31" fillId="0" borderId="12" xfId="48" applyNumberFormat="1" applyFont="1" applyFill="1" applyBorder="1" applyAlignment="1">
      <alignment horizontal="right"/>
    </xf>
    <xf numFmtId="4" fontId="31" fillId="24" borderId="10" xfId="33" applyNumberFormat="1" applyFont="1" applyFill="1" applyBorder="1" applyAlignment="1">
      <alignment horizontal="left" vertical="center"/>
    </xf>
    <xf numFmtId="4" fontId="31" fillId="24" borderId="17" xfId="33" applyNumberFormat="1" applyFont="1" applyFill="1" applyBorder="1" applyAlignment="1">
      <alignment horizontal="center" vertical="center"/>
    </xf>
    <xf numFmtId="4" fontId="31" fillId="24" borderId="18" xfId="33" applyNumberFormat="1" applyFont="1" applyFill="1" applyBorder="1" applyAlignment="1">
      <alignment horizontal="center"/>
    </xf>
    <xf numFmtId="4" fontId="31" fillId="24" borderId="12" xfId="33" applyNumberFormat="1" applyFont="1" applyFill="1" applyBorder="1" applyAlignment="1">
      <alignment horizontal="right"/>
    </xf>
    <xf numFmtId="4" fontId="31" fillId="24" borderId="13" xfId="33" applyNumberFormat="1" applyFont="1" applyFill="1" applyBorder="1" applyAlignment="1">
      <alignment horizontal="center"/>
    </xf>
    <xf numFmtId="4" fontId="31" fillId="0" borderId="19" xfId="33" applyNumberFormat="1" applyFont="1" applyFill="1" applyBorder="1" applyAlignment="1">
      <alignment horizontal="center" vertical="center"/>
    </xf>
    <xf numFmtId="4" fontId="31" fillId="0" borderId="12" xfId="33" applyNumberFormat="1" applyFont="1" applyFill="1" applyBorder="1" applyAlignment="1">
      <alignment horizontal="right"/>
    </xf>
    <xf numFmtId="4" fontId="31" fillId="4" borderId="12" xfId="33" applyNumberFormat="1" applyFont="1" applyFill="1" applyBorder="1" applyAlignment="1">
      <alignment horizontal="center"/>
    </xf>
    <xf numFmtId="4" fontId="31" fillId="0" borderId="0" xfId="33" applyNumberFormat="1" applyFont="1" applyFill="1" applyBorder="1" applyAlignment="1">
      <alignment horizontal="center" vertical="center"/>
    </xf>
    <xf numFmtId="4" fontId="31" fillId="24" borderId="14" xfId="33" applyNumberFormat="1" applyFont="1" applyFill="1" applyBorder="1" applyAlignment="1">
      <alignment horizontal="center" vertical="center"/>
    </xf>
    <xf numFmtId="4" fontId="31" fillId="24" borderId="12" xfId="33" applyNumberFormat="1" applyFont="1" applyFill="1" applyBorder="1" applyAlignment="1">
      <alignment horizontal="right" vertical="center"/>
    </xf>
    <xf numFmtId="4" fontId="31" fillId="24" borderId="12" xfId="33" applyNumberFormat="1" applyFont="1" applyFill="1" applyBorder="1" applyAlignment="1">
      <alignment horizontal="center" vertical="center"/>
    </xf>
    <xf numFmtId="4" fontId="31" fillId="0" borderId="14" xfId="33" applyNumberFormat="1" applyFont="1" applyFill="1" applyBorder="1" applyAlignment="1">
      <alignment horizontal="left" vertical="center" wrapText="1"/>
    </xf>
    <xf numFmtId="4" fontId="31" fillId="0" borderId="12" xfId="33" applyNumberFormat="1" applyFont="1" applyFill="1" applyBorder="1" applyAlignment="1">
      <alignment horizontal="center"/>
    </xf>
    <xf numFmtId="4" fontId="31" fillId="0" borderId="12" xfId="33" applyNumberFormat="1" applyFont="1" applyFill="1" applyBorder="1" applyAlignment="1">
      <alignment horizontal="right" vertical="center"/>
    </xf>
    <xf numFmtId="4" fontId="31" fillId="4" borderId="12" xfId="33" applyNumberFormat="1" applyFont="1" applyFill="1" applyBorder="1" applyAlignment="1">
      <alignment horizontal="center" vertical="center"/>
    </xf>
    <xf numFmtId="4" fontId="31" fillId="24" borderId="11" xfId="33" applyNumberFormat="1" applyFont="1" applyFill="1" applyBorder="1" applyAlignment="1">
      <alignment horizontal="center"/>
    </xf>
    <xf numFmtId="4" fontId="31" fillId="24" borderId="14" xfId="33" applyNumberFormat="1" applyFont="1" applyFill="1" applyBorder="1" applyAlignment="1">
      <alignment horizontal="left"/>
    </xf>
    <xf numFmtId="4" fontId="31" fillId="24" borderId="20" xfId="33" applyNumberFormat="1" applyFont="1" applyFill="1" applyBorder="1" applyAlignment="1">
      <alignment horizontal="center"/>
    </xf>
    <xf numFmtId="4" fontId="31" fillId="24" borderId="20" xfId="33" applyNumberFormat="1" applyFont="1" applyFill="1" applyBorder="1" applyAlignment="1">
      <alignment horizontal="right"/>
    </xf>
    <xf numFmtId="4" fontId="31" fillId="24" borderId="21" xfId="33" applyNumberFormat="1" applyFont="1" applyFill="1" applyBorder="1" applyAlignment="1">
      <alignment horizontal="center"/>
    </xf>
    <xf numFmtId="4" fontId="31" fillId="24" borderId="14" xfId="33" applyNumberFormat="1" applyFont="1" applyFill="1" applyBorder="1"/>
    <xf numFmtId="4" fontId="31" fillId="24" borderId="14" xfId="33" applyNumberFormat="1" applyFont="1" applyFill="1" applyBorder="1" applyAlignment="1">
      <alignment horizontal="left" vertical="center" wrapText="1"/>
    </xf>
    <xf numFmtId="4" fontId="31" fillId="0" borderId="12" xfId="33" applyNumberFormat="1" applyFont="1" applyFill="1" applyBorder="1" applyAlignment="1">
      <alignment horizontal="center" vertical="center"/>
    </xf>
    <xf numFmtId="4" fontId="31" fillId="0" borderId="14" xfId="48" applyNumberFormat="1" applyFont="1" applyFill="1" applyBorder="1" applyAlignment="1">
      <alignment horizontal="left" vertical="center" wrapText="1"/>
    </xf>
    <xf numFmtId="4" fontId="31" fillId="0" borderId="15" xfId="48" applyNumberFormat="1" applyFont="1" applyFill="1" applyBorder="1" applyAlignment="1">
      <alignment horizontal="center" vertical="center"/>
    </xf>
    <xf numFmtId="4" fontId="31" fillId="0" borderId="15" xfId="33" applyNumberFormat="1" applyFont="1" applyFill="1" applyBorder="1" applyAlignment="1">
      <alignment horizontal="center" vertical="center"/>
    </xf>
    <xf numFmtId="4" fontId="31" fillId="0" borderId="13" xfId="48" applyNumberFormat="1" applyFont="1" applyFill="1" applyBorder="1" applyAlignment="1">
      <alignment horizontal="center" vertical="center"/>
    </xf>
    <xf numFmtId="4" fontId="31" fillId="24" borderId="15" xfId="48" applyNumberFormat="1" applyFont="1" applyFill="1" applyBorder="1" applyAlignment="1">
      <alignment horizontal="center" vertical="center"/>
    </xf>
    <xf numFmtId="4" fontId="31" fillId="24" borderId="15" xfId="33" applyNumberFormat="1" applyFont="1" applyFill="1" applyBorder="1" applyAlignment="1">
      <alignment horizontal="center" vertical="center"/>
    </xf>
    <xf numFmtId="4" fontId="31" fillId="24" borderId="13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left" vertical="center"/>
    </xf>
    <xf numFmtId="4" fontId="31" fillId="24" borderId="22" xfId="48" applyNumberFormat="1" applyFont="1" applyFill="1" applyBorder="1" applyAlignment="1">
      <alignment horizontal="center"/>
    </xf>
    <xf numFmtId="4" fontId="31" fillId="0" borderId="0" xfId="0" applyNumberFormat="1" applyFont="1" applyAlignment="1">
      <alignment wrapText="1"/>
    </xf>
    <xf numFmtId="4" fontId="31" fillId="0" borderId="15" xfId="48" applyNumberFormat="1" applyFont="1" applyFill="1" applyBorder="1" applyAlignment="1">
      <alignment horizontal="center"/>
    </xf>
    <xf numFmtId="4" fontId="31" fillId="24" borderId="22" xfId="48" applyNumberFormat="1" applyFont="1" applyFill="1" applyBorder="1" applyAlignment="1">
      <alignment horizontal="center" vertical="center"/>
    </xf>
    <xf numFmtId="4" fontId="31" fillId="24" borderId="18" xfId="48" applyNumberFormat="1" applyFont="1" applyFill="1" applyBorder="1" applyAlignment="1">
      <alignment horizontal="center"/>
    </xf>
    <xf numFmtId="4" fontId="31" fillId="0" borderId="14" xfId="48" applyNumberFormat="1" applyFont="1" applyBorder="1" applyAlignment="1">
      <alignment horizontal="left" vertical="center" wrapText="1"/>
    </xf>
    <xf numFmtId="4" fontId="31" fillId="0" borderId="0" xfId="0" applyNumberFormat="1" applyFont="1" applyFill="1"/>
    <xf numFmtId="4" fontId="31" fillId="0" borderId="14" xfId="48" applyNumberFormat="1" applyFont="1" applyFill="1" applyBorder="1" applyAlignment="1">
      <alignment horizontal="left" vertical="center"/>
    </xf>
    <xf numFmtId="4" fontId="31" fillId="0" borderId="13" xfId="48" applyNumberFormat="1" applyFont="1" applyFill="1" applyBorder="1" applyAlignment="1">
      <alignment horizontal="center"/>
    </xf>
    <xf numFmtId="3" fontId="31" fillId="0" borderId="0" xfId="0" applyNumberFormat="1" applyFont="1"/>
    <xf numFmtId="1" fontId="31" fillId="0" borderId="0" xfId="0" applyNumberFormat="1" applyFont="1"/>
    <xf numFmtId="4" fontId="31" fillId="0" borderId="14" xfId="0" applyNumberFormat="1" applyFont="1" applyBorder="1" applyAlignment="1">
      <alignment wrapText="1"/>
    </xf>
    <xf numFmtId="4" fontId="34" fillId="0" borderId="0" xfId="0" applyNumberFormat="1" applyFont="1"/>
    <xf numFmtId="0" fontId="31" fillId="0" borderId="0" xfId="0" applyFont="1"/>
    <xf numFmtId="4" fontId="31" fillId="24" borderId="23" xfId="33" applyNumberFormat="1" applyFont="1" applyFill="1" applyBorder="1" applyAlignment="1">
      <alignment horizontal="left"/>
    </xf>
    <xf numFmtId="166" fontId="31" fillId="24" borderId="12" xfId="48" applyNumberFormat="1" applyFont="1" applyFill="1" applyBorder="1" applyAlignment="1">
      <alignment horizontal="center"/>
    </xf>
    <xf numFmtId="4" fontId="31" fillId="24" borderId="11" xfId="48" applyNumberFormat="1" applyFont="1" applyFill="1" applyBorder="1" applyAlignment="1">
      <alignment horizontal="left" vertical="center" wrapText="1"/>
    </xf>
    <xf numFmtId="4" fontId="35" fillId="0" borderId="0" xfId="0" applyNumberFormat="1" applyFont="1"/>
    <xf numFmtId="4" fontId="31" fillId="24" borderId="20" xfId="48" applyNumberFormat="1" applyFont="1" applyFill="1" applyBorder="1" applyAlignment="1">
      <alignment horizontal="center"/>
    </xf>
    <xf numFmtId="4" fontId="31" fillId="24" borderId="14" xfId="48" applyNumberFormat="1" applyFont="1" applyFill="1" applyBorder="1" applyAlignment="1">
      <alignment vertical="center"/>
    </xf>
    <xf numFmtId="4" fontId="31" fillId="24" borderId="11" xfId="48" applyNumberFormat="1" applyFont="1" applyFill="1" applyBorder="1" applyAlignment="1">
      <alignment vertical="center"/>
    </xf>
    <xf numFmtId="4" fontId="31" fillId="24" borderId="18" xfId="48" applyNumberFormat="1" applyFont="1" applyFill="1" applyBorder="1" applyAlignment="1">
      <alignment horizontal="left" vertical="center"/>
    </xf>
    <xf numFmtId="3" fontId="31" fillId="0" borderId="24" xfId="0" applyNumberFormat="1" applyFont="1" applyFill="1" applyBorder="1" applyAlignment="1">
      <alignment horizontal="center" vertical="center"/>
    </xf>
    <xf numFmtId="168" fontId="31" fillId="0" borderId="24" xfId="0" applyNumberFormat="1" applyFont="1" applyFill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4" fontId="31" fillId="24" borderId="14" xfId="33" applyNumberFormat="1" applyFont="1" applyFill="1" applyBorder="1" applyAlignment="1">
      <alignment horizontal="left" vertical="center"/>
    </xf>
    <xf numFmtId="165" fontId="39" fillId="24" borderId="0" xfId="53" applyFill="1" applyBorder="1" applyAlignment="1">
      <alignment vertical="top" wrapText="1"/>
    </xf>
    <xf numFmtId="4" fontId="0" fillId="0" borderId="0" xfId="0" applyNumberFormat="1" applyAlignment="1">
      <alignment vertical="center"/>
    </xf>
    <xf numFmtId="4" fontId="31" fillId="0" borderId="14" xfId="48" applyNumberFormat="1" applyFont="1" applyBorder="1" applyAlignment="1">
      <alignment horizontal="justify" vertical="center" wrapText="1"/>
    </xf>
    <xf numFmtId="4" fontId="31" fillId="24" borderId="11" xfId="48" applyNumberFormat="1" applyFont="1" applyFill="1" applyBorder="1" applyAlignment="1">
      <alignment horizontal="justify" vertical="center" wrapText="1"/>
    </xf>
    <xf numFmtId="4" fontId="31" fillId="0" borderId="14" xfId="48" applyNumberFormat="1" applyFont="1" applyFill="1" applyBorder="1" applyAlignment="1">
      <alignment horizontal="justify" vertical="center" wrapText="1"/>
    </xf>
    <xf numFmtId="4" fontId="31" fillId="24" borderId="13" xfId="33" applyNumberFormat="1" applyFont="1" applyFill="1" applyBorder="1" applyAlignment="1">
      <alignment horizontal="center" vertical="center"/>
    </xf>
    <xf numFmtId="4" fontId="31" fillId="24" borderId="17" xfId="48" applyNumberFormat="1" applyFont="1" applyFill="1" applyBorder="1" applyAlignment="1">
      <alignment horizontal="center" vertical="center"/>
    </xf>
    <xf numFmtId="4" fontId="31" fillId="0" borderId="0" xfId="0" applyNumberFormat="1" applyFont="1" applyAlignment="1">
      <alignment vertical="center"/>
    </xf>
    <xf numFmtId="4" fontId="32" fillId="24" borderId="0" xfId="48" applyNumberFormat="1" applyFont="1" applyFill="1" applyBorder="1" applyAlignment="1">
      <alignment horizontal="center" vertical="center"/>
    </xf>
    <xf numFmtId="4" fontId="31" fillId="24" borderId="0" xfId="48" applyNumberFormat="1" applyFont="1" applyFill="1" applyBorder="1" applyAlignment="1">
      <alignment horizontal="center" vertical="center"/>
    </xf>
    <xf numFmtId="4" fontId="31" fillId="0" borderId="0" xfId="0" applyNumberFormat="1" applyFont="1" applyAlignment="1">
      <alignment horizontal="center"/>
    </xf>
    <xf numFmtId="4" fontId="31" fillId="24" borderId="22" xfId="33" applyNumberFormat="1" applyFont="1" applyFill="1" applyBorder="1" applyAlignment="1">
      <alignment horizontal="center"/>
    </xf>
    <xf numFmtId="4" fontId="31" fillId="0" borderId="13" xfId="33" applyNumberFormat="1" applyFont="1" applyFill="1" applyBorder="1" applyAlignment="1">
      <alignment horizontal="center"/>
    </xf>
    <xf numFmtId="4" fontId="32" fillId="24" borderId="13" xfId="33" applyNumberFormat="1" applyFont="1" applyFill="1" applyBorder="1" applyAlignment="1">
      <alignment horizontal="center"/>
    </xf>
    <xf numFmtId="4" fontId="32" fillId="24" borderId="22" xfId="33" applyNumberFormat="1" applyFont="1" applyFill="1" applyBorder="1" applyAlignment="1">
      <alignment horizontal="center"/>
    </xf>
    <xf numFmtId="4" fontId="18" fillId="25" borderId="25" xfId="48" applyNumberFormat="1" applyFont="1" applyFill="1" applyBorder="1" applyAlignment="1">
      <alignment horizontal="center" vertical="center"/>
    </xf>
    <xf numFmtId="4" fontId="31" fillId="24" borderId="26" xfId="48" applyNumberFormat="1" applyFont="1" applyFill="1" applyBorder="1" applyAlignment="1">
      <alignment vertical="center"/>
    </xf>
    <xf numFmtId="4" fontId="31" fillId="24" borderId="27" xfId="48" applyNumberFormat="1" applyFont="1" applyFill="1" applyBorder="1" applyAlignment="1">
      <alignment vertical="center"/>
    </xf>
    <xf numFmtId="4" fontId="31" fillId="24" borderId="20" xfId="48" applyNumberFormat="1" applyFont="1" applyFill="1" applyBorder="1" applyAlignment="1">
      <alignment horizontal="right" vertical="center"/>
    </xf>
    <xf numFmtId="4" fontId="31" fillId="24" borderId="11" xfId="48" applyNumberFormat="1" applyFont="1" applyFill="1" applyBorder="1" applyAlignment="1">
      <alignment horizontal="right" vertical="center"/>
    </xf>
    <xf numFmtId="4" fontId="31" fillId="24" borderId="15" xfId="33" applyNumberFormat="1" applyFont="1" applyFill="1" applyBorder="1" applyAlignment="1">
      <alignment horizontal="center"/>
    </xf>
    <xf numFmtId="4" fontId="31" fillId="0" borderId="28" xfId="33" applyNumberFormat="1" applyFont="1" applyFill="1" applyBorder="1" applyAlignment="1">
      <alignment horizontal="center"/>
    </xf>
    <xf numFmtId="4" fontId="31" fillId="24" borderId="28" xfId="33" applyNumberFormat="1" applyFont="1" applyFill="1" applyBorder="1" applyAlignment="1">
      <alignment horizontal="center"/>
    </xf>
    <xf numFmtId="4" fontId="31" fillId="0" borderId="15" xfId="33" applyNumberFormat="1" applyFont="1" applyFill="1" applyBorder="1" applyAlignment="1">
      <alignment horizontal="center"/>
    </xf>
    <xf numFmtId="4" fontId="31" fillId="24" borderId="20" xfId="48" applyNumberFormat="1" applyFont="1" applyFill="1" applyBorder="1" applyAlignment="1">
      <alignment horizontal="center" vertical="center"/>
    </xf>
    <xf numFmtId="4" fontId="31" fillId="24" borderId="24" xfId="48" applyNumberFormat="1" applyFont="1" applyFill="1" applyBorder="1" applyAlignment="1">
      <alignment horizontal="center" vertical="center"/>
    </xf>
    <xf numFmtId="4" fontId="31" fillId="24" borderId="26" xfId="48" applyNumberFormat="1" applyFont="1" applyFill="1" applyBorder="1" applyAlignment="1">
      <alignment horizontal="left" vertical="center"/>
    </xf>
    <xf numFmtId="4" fontId="31" fillId="24" borderId="29" xfId="48" applyNumberFormat="1" applyFont="1" applyFill="1" applyBorder="1" applyAlignment="1">
      <alignment horizontal="right" vertical="center"/>
    </xf>
    <xf numFmtId="4" fontId="31" fillId="24" borderId="30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center" vertical="center"/>
    </xf>
    <xf numFmtId="4" fontId="31" fillId="0" borderId="14" xfId="33" applyNumberFormat="1" applyFont="1" applyFill="1" applyBorder="1" applyAlignment="1">
      <alignment horizontal="justify" vertical="center" wrapText="1"/>
    </xf>
    <xf numFmtId="4" fontId="31" fillId="0" borderId="31" xfId="33" applyNumberFormat="1" applyFont="1" applyFill="1" applyBorder="1" applyAlignment="1">
      <alignment horizontal="center" vertical="center"/>
    </xf>
    <xf numFmtId="4" fontId="31" fillId="0" borderId="13" xfId="33" applyNumberFormat="1" applyFont="1" applyFill="1" applyBorder="1" applyAlignment="1">
      <alignment horizontal="center" vertical="center"/>
    </xf>
    <xf numFmtId="4" fontId="31" fillId="0" borderId="14" xfId="33" applyNumberFormat="1" applyFont="1" applyFill="1" applyBorder="1" applyAlignment="1">
      <alignment horizontal="justify" vertical="center"/>
    </xf>
    <xf numFmtId="4" fontId="31" fillId="0" borderId="27" xfId="33" applyNumberFormat="1" applyFont="1" applyFill="1" applyBorder="1" applyAlignment="1">
      <alignment horizontal="right" vertical="center"/>
    </xf>
    <xf numFmtId="4" fontId="31" fillId="24" borderId="14" xfId="33" applyNumberFormat="1" applyFont="1" applyFill="1" applyBorder="1" applyAlignment="1">
      <alignment horizontal="justify" vertical="center" wrapText="1"/>
    </xf>
    <xf numFmtId="4" fontId="31" fillId="24" borderId="27" xfId="33" applyNumberFormat="1" applyFont="1" applyFill="1" applyBorder="1" applyAlignment="1">
      <alignment horizontal="right" vertical="center"/>
    </xf>
    <xf numFmtId="4" fontId="31" fillId="24" borderId="23" xfId="33" applyNumberFormat="1" applyFont="1" applyFill="1" applyBorder="1" applyAlignment="1">
      <alignment horizontal="justify" vertical="center" wrapText="1"/>
    </xf>
    <xf numFmtId="4" fontId="31" fillId="24" borderId="32" xfId="33" applyNumberFormat="1" applyFont="1" applyFill="1" applyBorder="1" applyAlignment="1">
      <alignment horizontal="center" vertical="center"/>
    </xf>
    <xf numFmtId="4" fontId="31" fillId="24" borderId="10" xfId="33" applyNumberFormat="1" applyFont="1" applyFill="1" applyBorder="1" applyAlignment="1">
      <alignment horizontal="center" vertical="center"/>
    </xf>
    <xf numFmtId="4" fontId="31" fillId="24" borderId="33" xfId="48" applyNumberFormat="1" applyFont="1" applyFill="1" applyBorder="1" applyAlignment="1">
      <alignment horizontal="center"/>
    </xf>
    <xf numFmtId="166" fontId="31" fillId="24" borderId="15" xfId="33" applyNumberFormat="1" applyFont="1" applyFill="1" applyBorder="1" applyAlignment="1">
      <alignment horizontal="center" vertical="center"/>
    </xf>
    <xf numFmtId="4" fontId="31" fillId="24" borderId="24" xfId="48" applyNumberFormat="1" applyFont="1" applyFill="1" applyBorder="1" applyAlignment="1">
      <alignment horizontal="center"/>
    </xf>
    <xf numFmtId="4" fontId="31" fillId="24" borderId="24" xfId="33" applyNumberFormat="1" applyFont="1" applyFill="1" applyBorder="1" applyAlignment="1">
      <alignment horizontal="center"/>
    </xf>
    <xf numFmtId="4" fontId="31" fillId="24" borderId="24" xfId="48" applyNumberFormat="1" applyFont="1" applyFill="1" applyBorder="1" applyAlignment="1">
      <alignment horizontal="right"/>
    </xf>
    <xf numFmtId="4" fontId="31" fillId="24" borderId="24" xfId="33" applyNumberFormat="1" applyFont="1" applyFill="1" applyBorder="1" applyAlignment="1">
      <alignment horizontal="center" vertical="center"/>
    </xf>
    <xf numFmtId="4" fontId="31" fillId="24" borderId="24" xfId="48" applyNumberFormat="1" applyFont="1" applyFill="1" applyBorder="1" applyAlignment="1">
      <alignment horizontal="right" vertical="center"/>
    </xf>
    <xf numFmtId="4" fontId="31" fillId="4" borderId="24" xfId="48" applyNumberFormat="1" applyFont="1" applyFill="1" applyBorder="1" applyAlignment="1">
      <alignment horizontal="center" vertical="center"/>
    </xf>
    <xf numFmtId="4" fontId="31" fillId="0" borderId="24" xfId="48" applyNumberFormat="1" applyFont="1" applyFill="1" applyBorder="1" applyAlignment="1">
      <alignment horizontal="center" vertical="center"/>
    </xf>
    <xf numFmtId="4" fontId="31" fillId="0" borderId="24" xfId="33" applyNumberFormat="1" applyFont="1" applyFill="1" applyBorder="1" applyAlignment="1">
      <alignment horizontal="center" vertical="center"/>
    </xf>
    <xf numFmtId="4" fontId="31" fillId="0" borderId="24" xfId="48" applyNumberFormat="1" applyFont="1" applyFill="1" applyBorder="1" applyAlignment="1">
      <alignment horizontal="right" vertical="center"/>
    </xf>
    <xf numFmtId="4" fontId="31" fillId="0" borderId="14" xfId="0" applyNumberFormat="1" applyFont="1" applyBorder="1" applyAlignment="1">
      <alignment horizontal="justify" vertical="center" wrapText="1"/>
    </xf>
    <xf numFmtId="4" fontId="31" fillId="24" borderId="12" xfId="33" applyNumberFormat="1" applyFont="1" applyFill="1" applyBorder="1" applyAlignment="1">
      <alignment horizontal="center" vertical="center" wrapText="1"/>
    </xf>
    <xf numFmtId="4" fontId="31" fillId="0" borderId="14" xfId="0" applyNumberFormat="1" applyFont="1" applyBorder="1" applyAlignment="1">
      <alignment vertical="center" wrapText="1"/>
    </xf>
    <xf numFmtId="165" fontId="39" fillId="24" borderId="0" xfId="53" applyFill="1" applyBorder="1" applyAlignment="1">
      <alignment vertical="center" wrapText="1"/>
    </xf>
    <xf numFmtId="165" fontId="36" fillId="24" borderId="0" xfId="53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31" fillId="0" borderId="34" xfId="0" applyFont="1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31" fillId="24" borderId="18" xfId="48" applyNumberFormat="1" applyFont="1" applyFill="1" applyBorder="1" applyAlignment="1">
      <alignment horizontal="center" vertical="center"/>
    </xf>
    <xf numFmtId="4" fontId="31" fillId="24" borderId="20" xfId="33" applyNumberFormat="1" applyFont="1" applyFill="1" applyBorder="1" applyAlignment="1">
      <alignment horizontal="center" vertical="center"/>
    </xf>
    <xf numFmtId="166" fontId="31" fillId="24" borderId="12" xfId="48" applyNumberFormat="1" applyFont="1" applyFill="1" applyBorder="1" applyAlignment="1">
      <alignment horizontal="center" vertical="center"/>
    </xf>
    <xf numFmtId="4" fontId="31" fillId="24" borderId="11" xfId="33" applyNumberFormat="1" applyFont="1" applyFill="1" applyBorder="1" applyAlignment="1">
      <alignment horizontal="center" vertical="center"/>
    </xf>
    <xf numFmtId="4" fontId="31" fillId="24" borderId="22" xfId="33" applyNumberFormat="1" applyFont="1" applyFill="1" applyBorder="1" applyAlignment="1">
      <alignment horizontal="center"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9" fillId="24" borderId="0" xfId="0" quotePrefix="1" applyFont="1" applyFill="1" applyBorder="1" applyAlignment="1">
      <alignment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4" fontId="18" fillId="24" borderId="0" xfId="0" applyNumberFormat="1" applyFont="1" applyFill="1" applyBorder="1" applyAlignment="1">
      <alignment vertical="center"/>
    </xf>
    <xf numFmtId="0" fontId="21" fillId="24" borderId="0" xfId="0" applyFont="1" applyFill="1" applyBorder="1" applyAlignment="1">
      <alignment horizontal="center" vertical="center"/>
    </xf>
    <xf numFmtId="0" fontId="18" fillId="24" borderId="0" xfId="0" applyFont="1" applyFill="1" applyBorder="1" applyAlignment="1">
      <alignment horizontal="center" vertical="center"/>
    </xf>
    <xf numFmtId="164" fontId="18" fillId="24" borderId="0" xfId="0" applyNumberFormat="1" applyFont="1" applyFill="1" applyBorder="1" applyAlignment="1">
      <alignment horizontal="right" vertical="center"/>
    </xf>
    <xf numFmtId="0" fontId="18" fillId="24" borderId="0" xfId="0" applyFont="1" applyFill="1" applyBorder="1" applyAlignment="1">
      <alignment horizontal="right" vertical="center"/>
    </xf>
    <xf numFmtId="0" fontId="18" fillId="24" borderId="0" xfId="0" applyFont="1" applyFill="1" applyBorder="1" applyAlignment="1">
      <alignment horizontal="left" vertical="center"/>
    </xf>
    <xf numFmtId="0" fontId="19" fillId="24" borderId="0" xfId="0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horizontal="left" vertical="center"/>
    </xf>
    <xf numFmtId="3" fontId="31" fillId="0" borderId="0" xfId="0" applyNumberFormat="1" applyFont="1" applyAlignment="1">
      <alignment vertical="center"/>
    </xf>
    <xf numFmtId="4" fontId="41" fillId="4" borderId="35" xfId="48" applyNumberFormat="1" applyFont="1" applyFill="1" applyBorder="1" applyAlignment="1">
      <alignment horizontal="center" vertical="center"/>
    </xf>
    <xf numFmtId="4" fontId="42" fillId="4" borderId="35" xfId="33" applyNumberFormat="1" applyFont="1" applyFill="1" applyBorder="1" applyAlignment="1">
      <alignment horizontal="center" vertical="center"/>
    </xf>
    <xf numFmtId="4" fontId="31" fillId="24" borderId="27" xfId="48" applyNumberFormat="1" applyFont="1" applyFill="1" applyBorder="1" applyAlignment="1">
      <alignment horizontal="right"/>
    </xf>
    <xf numFmtId="4" fontId="31" fillId="4" borderId="27" xfId="48" applyNumberFormat="1" applyFont="1" applyFill="1" applyBorder="1" applyAlignment="1">
      <alignment horizontal="center"/>
    </xf>
    <xf numFmtId="4" fontId="31" fillId="24" borderId="29" xfId="48" applyNumberFormat="1" applyFont="1" applyFill="1" applyBorder="1" applyAlignment="1">
      <alignment horizontal="justify" vertical="center" wrapText="1"/>
    </xf>
    <xf numFmtId="4" fontId="31" fillId="24" borderId="36" xfId="48" applyNumberFormat="1" applyFont="1" applyFill="1" applyBorder="1" applyAlignment="1">
      <alignment horizontal="right"/>
    </xf>
    <xf numFmtId="4" fontId="31" fillId="4" borderId="36" xfId="48" applyNumberFormat="1" applyFont="1" applyFill="1" applyBorder="1" applyAlignment="1">
      <alignment horizontal="center"/>
    </xf>
    <xf numFmtId="4" fontId="31" fillId="24" borderId="37" xfId="48" applyNumberFormat="1" applyFont="1" applyFill="1" applyBorder="1" applyAlignment="1">
      <alignment horizontal="center"/>
    </xf>
    <xf numFmtId="4" fontId="31" fillId="24" borderId="38" xfId="48" applyNumberFormat="1" applyFont="1" applyFill="1" applyBorder="1" applyAlignment="1">
      <alignment horizontal="center"/>
    </xf>
    <xf numFmtId="4" fontId="31" fillId="24" borderId="38" xfId="48" applyNumberFormat="1" applyFont="1" applyFill="1" applyBorder="1" applyAlignment="1">
      <alignment horizontal="right"/>
    </xf>
    <xf numFmtId="4" fontId="31" fillId="24" borderId="21" xfId="48" applyNumberFormat="1" applyFont="1" applyFill="1" applyBorder="1" applyAlignment="1">
      <alignment horizontal="center" vertical="center"/>
    </xf>
    <xf numFmtId="4" fontId="31" fillId="24" borderId="39" xfId="48" applyNumberFormat="1" applyFont="1" applyFill="1" applyBorder="1" applyAlignment="1">
      <alignment horizontal="center" vertical="center"/>
    </xf>
    <xf numFmtId="4" fontId="31" fillId="24" borderId="40" xfId="48" applyNumberFormat="1" applyFont="1" applyFill="1" applyBorder="1" applyAlignment="1">
      <alignment horizontal="center" vertical="center" wrapText="1"/>
    </xf>
    <xf numFmtId="4" fontId="31" fillId="24" borderId="41" xfId="48" applyNumberFormat="1" applyFont="1" applyFill="1" applyBorder="1" applyAlignment="1">
      <alignment horizontal="center" vertical="center" wrapText="1"/>
    </xf>
    <xf numFmtId="4" fontId="31" fillId="0" borderId="42" xfId="48" applyNumberFormat="1" applyFont="1" applyBorder="1" applyAlignment="1">
      <alignment horizontal="left" vertical="center" wrapText="1"/>
    </xf>
    <xf numFmtId="4" fontId="31" fillId="24" borderId="41" xfId="48" applyNumberFormat="1" applyFont="1" applyFill="1" applyBorder="1" applyAlignment="1">
      <alignment horizontal="center"/>
    </xf>
    <xf numFmtId="4" fontId="31" fillId="24" borderId="43" xfId="48" applyNumberFormat="1" applyFont="1" applyFill="1" applyBorder="1" applyAlignment="1">
      <alignment horizontal="center" vertical="center"/>
    </xf>
    <xf numFmtId="4" fontId="31" fillId="24" borderId="44" xfId="48" applyNumberFormat="1" applyFont="1" applyFill="1" applyBorder="1" applyAlignment="1">
      <alignment horizontal="center"/>
    </xf>
    <xf numFmtId="4" fontId="31" fillId="0" borderId="45" xfId="48" applyNumberFormat="1" applyFont="1" applyBorder="1" applyAlignment="1">
      <alignment horizontal="justify" vertical="center" wrapText="1"/>
    </xf>
    <xf numFmtId="4" fontId="31" fillId="24" borderId="44" xfId="48" applyNumberFormat="1" applyFont="1" applyFill="1" applyBorder="1" applyAlignment="1">
      <alignment horizontal="center" vertical="center"/>
    </xf>
    <xf numFmtId="4" fontId="31" fillId="0" borderId="44" xfId="48" applyNumberFormat="1" applyFont="1" applyFill="1" applyBorder="1" applyAlignment="1">
      <alignment horizontal="center" vertical="center"/>
    </xf>
    <xf numFmtId="4" fontId="31" fillId="0" borderId="45" xfId="48" applyNumberFormat="1" applyFont="1" applyBorder="1" applyAlignment="1">
      <alignment horizontal="justify" vertical="center"/>
    </xf>
    <xf numFmtId="4" fontId="31" fillId="0" borderId="45" xfId="48" applyNumberFormat="1" applyFont="1" applyFill="1" applyBorder="1" applyAlignment="1">
      <alignment horizontal="justify" vertical="center" wrapText="1"/>
    </xf>
    <xf numFmtId="4" fontId="31" fillId="0" borderId="45" xfId="0" applyNumberFormat="1" applyFont="1" applyBorder="1" applyAlignment="1">
      <alignment horizontal="justify" vertical="center" wrapText="1"/>
    </xf>
    <xf numFmtId="4" fontId="31" fillId="0" borderId="45" xfId="0" applyNumberFormat="1" applyFont="1" applyFill="1" applyBorder="1" applyAlignment="1">
      <alignment vertical="center" wrapText="1"/>
    </xf>
    <xf numFmtId="4" fontId="31" fillId="0" borderId="45" xfId="48" applyNumberFormat="1" applyFont="1" applyBorder="1" applyAlignment="1">
      <alignment horizontal="left" vertical="center" wrapText="1"/>
    </xf>
    <xf numFmtId="4" fontId="31" fillId="24" borderId="45" xfId="48" applyNumberFormat="1" applyFont="1" applyFill="1" applyBorder="1" applyAlignment="1">
      <alignment horizontal="center" vertical="center"/>
    </xf>
    <xf numFmtId="4" fontId="31" fillId="0" borderId="45" xfId="48" applyNumberFormat="1" applyFont="1" applyFill="1" applyBorder="1" applyAlignment="1">
      <alignment horizontal="left" vertical="center" wrapText="1"/>
    </xf>
    <xf numFmtId="4" fontId="31" fillId="24" borderId="46" xfId="48" applyNumberFormat="1" applyFont="1" applyFill="1" applyBorder="1" applyAlignment="1">
      <alignment horizontal="center" vertical="center"/>
    </xf>
    <xf numFmtId="4" fontId="31" fillId="24" borderId="47" xfId="48" applyNumberFormat="1" applyFont="1" applyFill="1" applyBorder="1" applyAlignment="1">
      <alignment horizontal="center"/>
    </xf>
    <xf numFmtId="4" fontId="31" fillId="24" borderId="42" xfId="48" applyNumberFormat="1" applyFont="1" applyFill="1" applyBorder="1" applyAlignment="1">
      <alignment horizontal="left" vertical="center"/>
    </xf>
    <xf numFmtId="4" fontId="31" fillId="24" borderId="40" xfId="48" applyNumberFormat="1" applyFont="1" applyFill="1" applyBorder="1" applyAlignment="1">
      <alignment horizontal="left" vertical="center"/>
    </xf>
    <xf numFmtId="4" fontId="31" fillId="24" borderId="41" xfId="48" applyNumberFormat="1" applyFont="1" applyFill="1" applyBorder="1" applyAlignment="1">
      <alignment horizontal="center" vertical="center"/>
    </xf>
    <xf numFmtId="4" fontId="31" fillId="24" borderId="46" xfId="48" applyNumberFormat="1" applyFont="1" applyFill="1" applyBorder="1" applyAlignment="1">
      <alignment horizontal="center"/>
    </xf>
    <xf numFmtId="4" fontId="31" fillId="24" borderId="48" xfId="48" applyNumberFormat="1" applyFont="1" applyFill="1" applyBorder="1" applyAlignment="1">
      <alignment horizontal="right" vertical="center"/>
    </xf>
    <xf numFmtId="4" fontId="31" fillId="24" borderId="40" xfId="48" applyNumberFormat="1" applyFont="1" applyFill="1" applyBorder="1" applyAlignment="1">
      <alignment horizontal="right" vertical="center"/>
    </xf>
    <xf numFmtId="4" fontId="31" fillId="24" borderId="27" xfId="48" applyNumberFormat="1" applyFont="1" applyFill="1" applyBorder="1" applyAlignment="1">
      <alignment horizontal="right" vertical="center"/>
    </xf>
    <xf numFmtId="4" fontId="31" fillId="4" borderId="27" xfId="48" applyNumberFormat="1" applyFont="1" applyFill="1" applyBorder="1" applyAlignment="1">
      <alignment horizontal="center" vertical="center"/>
    </xf>
    <xf numFmtId="4" fontId="31" fillId="0" borderId="11" xfId="48" applyNumberFormat="1" applyFont="1" applyBorder="1" applyAlignment="1">
      <alignment horizontal="left" vertical="center" wrapText="1"/>
    </xf>
    <xf numFmtId="4" fontId="31" fillId="24" borderId="49" xfId="48" applyNumberFormat="1" applyFont="1" applyFill="1" applyBorder="1" applyAlignment="1">
      <alignment horizontal="center" vertical="center"/>
    </xf>
    <xf numFmtId="4" fontId="31" fillId="24" borderId="49" xfId="33" applyNumberFormat="1" applyFont="1" applyFill="1" applyBorder="1" applyAlignment="1">
      <alignment horizontal="center" vertical="center"/>
    </xf>
    <xf numFmtId="166" fontId="31" fillId="0" borderId="15" xfId="33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50" xfId="32" applyFont="1" applyBorder="1" applyAlignment="1">
      <alignment horizontal="center"/>
    </xf>
    <xf numFmtId="0" fontId="43" fillId="0" borderId="51" xfId="32" applyFont="1" applyBorder="1"/>
    <xf numFmtId="165" fontId="20" fillId="0" borderId="52" xfId="53" applyFont="1" applyFill="1" applyBorder="1" applyAlignment="1" applyProtection="1"/>
    <xf numFmtId="0" fontId="32" fillId="0" borderId="51" xfId="32" applyFont="1" applyBorder="1"/>
    <xf numFmtId="0" fontId="20" fillId="0" borderId="51" xfId="32" applyFont="1" applyBorder="1"/>
    <xf numFmtId="165" fontId="31" fillId="0" borderId="52" xfId="53" applyFont="1" applyFill="1" applyBorder="1" applyAlignment="1" applyProtection="1"/>
    <xf numFmtId="9" fontId="20" fillId="0" borderId="52" xfId="53" applyNumberFormat="1" applyFont="1" applyFill="1" applyBorder="1" applyAlignment="1" applyProtection="1"/>
    <xf numFmtId="0" fontId="31" fillId="0" borderId="51" xfId="32" applyFont="1" applyBorder="1"/>
    <xf numFmtId="172" fontId="20" fillId="0" borderId="52" xfId="32" applyNumberFormat="1" applyFont="1" applyBorder="1"/>
    <xf numFmtId="0" fontId="20" fillId="0" borderId="52" xfId="32" applyFont="1" applyBorder="1"/>
    <xf numFmtId="172" fontId="32" fillId="0" borderId="52" xfId="32" applyNumberFormat="1" applyFont="1" applyBorder="1"/>
    <xf numFmtId="0" fontId="20" fillId="0" borderId="53" xfId="32" applyFont="1" applyBorder="1" applyAlignment="1">
      <alignment horizontal="center"/>
    </xf>
    <xf numFmtId="0" fontId="32" fillId="0" borderId="0" xfId="32" applyFont="1" applyBorder="1"/>
    <xf numFmtId="172" fontId="20" fillId="0" borderId="54" xfId="32" applyNumberFormat="1" applyFont="1" applyBorder="1"/>
    <xf numFmtId="0" fontId="20" fillId="0" borderId="0" xfId="32" applyFont="1" applyBorder="1"/>
    <xf numFmtId="0" fontId="20" fillId="0" borderId="55" xfId="32" applyFont="1" applyBorder="1" applyAlignment="1">
      <alignment horizontal="center"/>
    </xf>
    <xf numFmtId="0" fontId="20" fillId="0" borderId="56" xfId="32" applyFont="1" applyBorder="1"/>
    <xf numFmtId="172" fontId="20" fillId="0" borderId="57" xfId="32" applyNumberFormat="1" applyFont="1" applyBorder="1"/>
    <xf numFmtId="4" fontId="31" fillId="0" borderId="11" xfId="48" applyNumberFormat="1" applyFont="1" applyFill="1" applyBorder="1" applyAlignment="1">
      <alignment horizontal="left" vertical="center"/>
    </xf>
    <xf numFmtId="4" fontId="33" fillId="0" borderId="0" xfId="0" applyNumberFormat="1" applyFont="1" applyFill="1" applyAlignment="1">
      <alignment vertical="center"/>
    </xf>
    <xf numFmtId="4" fontId="31" fillId="0" borderId="14" xfId="48" applyNumberFormat="1" applyFont="1" applyFill="1" applyBorder="1" applyAlignment="1">
      <alignment vertical="center" wrapText="1"/>
    </xf>
    <xf numFmtId="4" fontId="31" fillId="0" borderId="45" xfId="0" applyNumberFormat="1" applyFont="1" applyFill="1" applyBorder="1" applyAlignment="1">
      <alignment horizontal="justify" vertical="center" wrapText="1"/>
    </xf>
    <xf numFmtId="2" fontId="31" fillId="0" borderId="24" xfId="0" applyNumberFormat="1" applyFont="1" applyFill="1" applyBorder="1" applyAlignment="1" applyProtection="1">
      <alignment horizontal="center" vertical="center"/>
      <protection locked="0"/>
    </xf>
    <xf numFmtId="2" fontId="31" fillId="0" borderId="24" xfId="0" applyNumberFormat="1" applyFont="1" applyFill="1" applyBorder="1" applyAlignment="1">
      <alignment horizontal="center" vertical="center"/>
    </xf>
    <xf numFmtId="0" fontId="19" fillId="24" borderId="24" xfId="0" applyFont="1" applyFill="1" applyBorder="1" applyAlignment="1">
      <alignment horizontal="center" vertical="center" wrapText="1"/>
    </xf>
    <xf numFmtId="4" fontId="18" fillId="24" borderId="24" xfId="0" applyNumberFormat="1" applyFont="1" applyFill="1" applyBorder="1" applyAlignment="1">
      <alignment horizontal="center" vertical="center" wrapText="1"/>
    </xf>
    <xf numFmtId="4" fontId="18" fillId="24" borderId="24" xfId="53" applyNumberFormat="1" applyFont="1" applyFill="1" applyBorder="1" applyAlignment="1" applyProtection="1">
      <alignment horizontal="center" vertical="center" wrapText="1"/>
    </xf>
    <xf numFmtId="0" fontId="18" fillId="24" borderId="24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justify" vertical="center" wrapText="1"/>
    </xf>
    <xf numFmtId="0" fontId="18" fillId="0" borderId="24" xfId="0" applyNumberFormat="1" applyFont="1" applyBorder="1" applyAlignment="1">
      <alignment horizontal="center" vertical="center"/>
    </xf>
    <xf numFmtId="4" fontId="31" fillId="0" borderId="27" xfId="48" applyNumberFormat="1" applyFont="1" applyFill="1" applyBorder="1" applyAlignment="1">
      <alignment horizontal="center" vertical="center"/>
    </xf>
    <xf numFmtId="167" fontId="0" fillId="24" borderId="12" xfId="0" applyNumberFormat="1" applyFont="1" applyFill="1" applyBorder="1" applyAlignment="1">
      <alignment horizontal="center" vertical="center"/>
    </xf>
    <xf numFmtId="4" fontId="0" fillId="0" borderId="12" xfId="0" applyNumberFormat="1" applyFont="1" applyBorder="1" applyAlignment="1">
      <alignment horizontal="center" vertical="center"/>
    </xf>
    <xf numFmtId="4" fontId="41" fillId="4" borderId="58" xfId="48" applyNumberFormat="1" applyFont="1" applyFill="1" applyBorder="1" applyAlignment="1">
      <alignment horizontal="center" vertical="center"/>
    </xf>
    <xf numFmtId="4" fontId="31" fillId="0" borderId="41" xfId="48" applyNumberFormat="1" applyFont="1" applyFill="1" applyBorder="1" applyAlignment="1">
      <alignment horizontal="center" vertical="center"/>
    </xf>
    <xf numFmtId="4" fontId="31" fillId="0" borderId="42" xfId="48" applyNumberFormat="1" applyFont="1" applyBorder="1" applyAlignment="1">
      <alignment horizontal="left" vertical="center"/>
    </xf>
    <xf numFmtId="4" fontId="31" fillId="24" borderId="42" xfId="48" applyNumberFormat="1" applyFont="1" applyFill="1" applyBorder="1" applyAlignment="1">
      <alignment horizontal="center" vertical="center"/>
    </xf>
    <xf numFmtId="4" fontId="31" fillId="0" borderId="42" xfId="48" applyNumberFormat="1" applyFont="1" applyFill="1" applyBorder="1" applyAlignment="1">
      <alignment horizontal="left" vertical="center" wrapText="1"/>
    </xf>
    <xf numFmtId="4" fontId="0" fillId="0" borderId="12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0" fillId="24" borderId="40" xfId="0" applyFont="1" applyFill="1" applyBorder="1" applyAlignment="1">
      <alignment horizontal="justify" wrapText="1"/>
    </xf>
    <xf numFmtId="0" fontId="0" fillId="24" borderId="10" xfId="0" applyFont="1" applyFill="1" applyBorder="1" applyAlignment="1">
      <alignment horizontal="center" vertical="center"/>
    </xf>
    <xf numFmtId="0" fontId="0" fillId="24" borderId="40" xfId="0" applyFill="1" applyBorder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center" vertical="center"/>
    </xf>
    <xf numFmtId="4" fontId="0" fillId="0" borderId="24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18" fillId="0" borderId="24" xfId="53" applyNumberFormat="1" applyFont="1" applyFill="1" applyBorder="1" applyAlignment="1" applyProtection="1">
      <alignment horizontal="center" vertical="center" wrapText="1"/>
    </xf>
    <xf numFmtId="4" fontId="31" fillId="24" borderId="47" xfId="48" applyNumberFormat="1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 wrapText="1"/>
    </xf>
    <xf numFmtId="0" fontId="19" fillId="24" borderId="24" xfId="0" applyFont="1" applyFill="1" applyBorder="1" applyAlignment="1">
      <alignment horizontal="center" vertical="top"/>
    </xf>
    <xf numFmtId="0" fontId="18" fillId="24" borderId="24" xfId="0" applyFont="1" applyFill="1" applyBorder="1" applyAlignment="1">
      <alignment horizontal="justify" vertical="center"/>
    </xf>
    <xf numFmtId="0" fontId="21" fillId="24" borderId="24" xfId="0" applyFont="1" applyFill="1" applyBorder="1" applyAlignment="1">
      <alignment horizontal="center" vertical="top"/>
    </xf>
    <xf numFmtId="0" fontId="22" fillId="24" borderId="24" xfId="0" applyFont="1" applyFill="1" applyBorder="1" applyAlignment="1">
      <alignment horizontal="justify" vertical="center"/>
    </xf>
    <xf numFmtId="0" fontId="19" fillId="26" borderId="24" xfId="0" applyFont="1" applyFill="1" applyBorder="1" applyAlignment="1">
      <alignment horizontal="center" vertical="center" wrapText="1"/>
    </xf>
    <xf numFmtId="0" fontId="21" fillId="26" borderId="24" xfId="0" applyFont="1" applyFill="1" applyBorder="1" applyAlignment="1">
      <alignment horizontal="center" vertical="top"/>
    </xf>
    <xf numFmtId="0" fontId="21" fillId="24" borderId="24" xfId="0" applyFont="1" applyFill="1" applyBorder="1" applyAlignment="1">
      <alignment horizontal="justify" vertical="top" wrapText="1"/>
    </xf>
    <xf numFmtId="0" fontId="22" fillId="0" borderId="24" xfId="0" applyFont="1" applyFill="1" applyBorder="1" applyAlignment="1">
      <alignment horizontal="justify" vertical="center"/>
    </xf>
    <xf numFmtId="0" fontId="18" fillId="0" borderId="24" xfId="0" applyFont="1" applyFill="1" applyBorder="1" applyAlignment="1">
      <alignment horizontal="justify" vertical="center"/>
    </xf>
    <xf numFmtId="0" fontId="18" fillId="0" borderId="24" xfId="0" applyNumberFormat="1" applyFont="1" applyBorder="1" applyAlignment="1">
      <alignment horizontal="justify" vertical="center"/>
    </xf>
    <xf numFmtId="0" fontId="18" fillId="0" borderId="24" xfId="0" applyNumberFormat="1" applyFont="1" applyBorder="1" applyAlignment="1">
      <alignment horizontal="justify" vertical="center" wrapText="1"/>
    </xf>
    <xf numFmtId="0" fontId="18" fillId="24" borderId="24" xfId="0" applyFont="1" applyFill="1" applyBorder="1" applyAlignment="1">
      <alignment horizontal="justify" vertical="center" wrapText="1"/>
    </xf>
    <xf numFmtId="0" fontId="18" fillId="0" borderId="24" xfId="0" applyFont="1" applyBorder="1" applyAlignment="1">
      <alignment horizontal="justify" vertical="center" wrapText="1"/>
    </xf>
    <xf numFmtId="4" fontId="31" fillId="0" borderId="27" xfId="48" applyNumberFormat="1" applyFont="1" applyFill="1" applyBorder="1" applyAlignment="1">
      <alignment horizontal="right" vertical="center"/>
    </xf>
    <xf numFmtId="4" fontId="31" fillId="0" borderId="60" xfId="48" applyNumberFormat="1" applyFont="1" applyFill="1" applyBorder="1" applyAlignment="1">
      <alignment horizontal="justify" vertical="center" wrapText="1"/>
    </xf>
    <xf numFmtId="4" fontId="31" fillId="0" borderId="49" xfId="48" applyNumberFormat="1" applyFont="1" applyFill="1" applyBorder="1" applyAlignment="1">
      <alignment horizontal="center" vertical="center"/>
    </xf>
    <xf numFmtId="4" fontId="31" fillId="0" borderId="49" xfId="33" applyNumberFormat="1" applyFont="1" applyFill="1" applyBorder="1" applyAlignment="1">
      <alignment horizontal="center" vertical="center"/>
    </xf>
    <xf numFmtId="4" fontId="31" fillId="0" borderId="24" xfId="48" applyNumberFormat="1" applyFont="1" applyFill="1" applyBorder="1" applyAlignment="1">
      <alignment horizontal="justify" vertical="center" wrapText="1"/>
    </xf>
    <xf numFmtId="4" fontId="31" fillId="0" borderId="24" xfId="48" applyNumberFormat="1" applyFont="1" applyFill="1" applyBorder="1" applyAlignment="1">
      <alignment horizontal="center" vertical="center" wrapText="1"/>
    </xf>
    <xf numFmtId="0" fontId="31" fillId="0" borderId="24" xfId="0" applyFont="1" applyFill="1" applyBorder="1" applyAlignment="1">
      <alignment horizontal="justify" vertical="center" wrapText="1"/>
    </xf>
    <xf numFmtId="4" fontId="31" fillId="0" borderId="10" xfId="48" applyNumberFormat="1" applyFont="1" applyFill="1" applyBorder="1" applyAlignment="1">
      <alignment horizontal="left" vertical="center"/>
    </xf>
    <xf numFmtId="4" fontId="18" fillId="0" borderId="24" xfId="0" applyNumberFormat="1" applyFont="1" applyBorder="1" applyAlignment="1">
      <alignment horizontal="center" vertical="center"/>
    </xf>
    <xf numFmtId="4" fontId="37" fillId="4" borderId="32" xfId="0" applyNumberFormat="1" applyFont="1" applyFill="1" applyBorder="1" applyAlignment="1">
      <alignment horizontal="justify" vertical="center"/>
    </xf>
    <xf numFmtId="3" fontId="31" fillId="0" borderId="24" xfId="0" applyNumberFormat="1" applyFont="1" applyFill="1" applyBorder="1" applyAlignment="1">
      <alignment horizontal="justify" vertical="center" wrapText="1"/>
    </xf>
    <xf numFmtId="3" fontId="31" fillId="0" borderId="24" xfId="0" applyNumberFormat="1" applyFont="1" applyFill="1" applyBorder="1" applyAlignment="1">
      <alignment horizontal="justify" vertical="center"/>
    </xf>
    <xf numFmtId="4" fontId="31" fillId="0" borderId="24" xfId="48" applyNumberFormat="1" applyFont="1" applyFill="1" applyBorder="1" applyAlignment="1">
      <alignment horizontal="justify" vertical="center"/>
    </xf>
    <xf numFmtId="0" fontId="31" fillId="0" borderId="24" xfId="0" applyFont="1" applyFill="1" applyBorder="1" applyAlignment="1">
      <alignment horizontal="justify" vertical="center"/>
    </xf>
    <xf numFmtId="4" fontId="31" fillId="24" borderId="24" xfId="48" applyNumberFormat="1" applyFont="1" applyFill="1" applyBorder="1" applyAlignment="1">
      <alignment horizontal="justify" vertical="center"/>
    </xf>
    <xf numFmtId="4" fontId="32" fillId="0" borderId="24" xfId="48" applyNumberFormat="1" applyFont="1" applyFill="1" applyBorder="1" applyAlignment="1">
      <alignment horizontal="justify" vertical="center"/>
    </xf>
    <xf numFmtId="4" fontId="31" fillId="0" borderId="24" xfId="0" applyNumberFormat="1" applyFont="1" applyFill="1" applyBorder="1" applyAlignment="1">
      <alignment horizontal="justify" vertical="center" wrapText="1"/>
    </xf>
    <xf numFmtId="0" fontId="31" fillId="0" borderId="24" xfId="0" applyFont="1" applyBorder="1" applyAlignment="1">
      <alignment horizontal="justify" vertical="center"/>
    </xf>
    <xf numFmtId="4" fontId="31" fillId="0" borderId="24" xfId="48" applyNumberFormat="1" applyFont="1" applyBorder="1" applyAlignment="1">
      <alignment horizontal="justify" vertical="center"/>
    </xf>
    <xf numFmtId="4" fontId="31" fillId="0" borderId="24" xfId="0" applyNumberFormat="1" applyFont="1" applyBorder="1" applyAlignment="1">
      <alignment horizontal="justify" vertical="center" wrapText="1"/>
    </xf>
    <xf numFmtId="4" fontId="31" fillId="0" borderId="24" xfId="48" applyNumberFormat="1" applyFont="1" applyBorder="1" applyAlignment="1">
      <alignment horizontal="justify" vertical="center" wrapText="1"/>
    </xf>
    <xf numFmtId="0" fontId="31" fillId="0" borderId="24" xfId="0" applyFont="1" applyBorder="1" applyAlignment="1">
      <alignment horizontal="justify" vertical="center" wrapText="1"/>
    </xf>
    <xf numFmtId="4" fontId="31" fillId="24" borderId="24" xfId="33" applyNumberFormat="1" applyFont="1" applyFill="1" applyBorder="1" applyAlignment="1">
      <alignment horizontal="justify" vertical="center" wrapText="1"/>
    </xf>
    <xf numFmtId="4" fontId="41" fillId="4" borderId="61" xfId="48" applyNumberFormat="1" applyFont="1" applyFill="1" applyBorder="1" applyAlignment="1">
      <alignment horizontal="center" vertical="center"/>
    </xf>
    <xf numFmtId="4" fontId="31" fillId="24" borderId="45" xfId="48" applyNumberFormat="1" applyFont="1" applyFill="1" applyBorder="1" applyAlignment="1">
      <alignment horizontal="justify" vertical="center"/>
    </xf>
    <xf numFmtId="0" fontId="31" fillId="0" borderId="45" xfId="0" applyFont="1" applyBorder="1" applyAlignment="1">
      <alignment horizontal="justify" vertical="center"/>
    </xf>
    <xf numFmtId="0" fontId="31" fillId="0" borderId="45" xfId="0" applyFont="1" applyFill="1" applyBorder="1" applyAlignment="1">
      <alignment horizontal="justify" vertical="center"/>
    </xf>
    <xf numFmtId="4" fontId="18" fillId="0" borderId="24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41" fillId="4" borderId="62" xfId="48" applyFont="1" applyFill="1" applyBorder="1" applyAlignment="1">
      <alignment horizontal="center" vertical="center"/>
    </xf>
    <xf numFmtId="3" fontId="41" fillId="4" borderId="63" xfId="48" applyFont="1" applyFill="1" applyBorder="1" applyAlignment="1">
      <alignment horizontal="center" vertical="center"/>
    </xf>
    <xf numFmtId="4" fontId="0" fillId="0" borderId="0" xfId="0" applyNumberFormat="1"/>
    <xf numFmtId="3" fontId="31" fillId="0" borderId="10" xfId="0" applyNumberFormat="1" applyFont="1" applyFill="1" applyBorder="1" applyAlignment="1">
      <alignment horizontal="left" vertical="center"/>
    </xf>
    <xf numFmtId="3" fontId="31" fillId="0" borderId="64" xfId="0" applyNumberFormat="1" applyFont="1" applyFill="1" applyBorder="1" applyAlignment="1">
      <alignment horizontal="center" vertical="center"/>
    </xf>
    <xf numFmtId="3" fontId="31" fillId="0" borderId="40" xfId="0" applyNumberFormat="1" applyFont="1" applyFill="1" applyBorder="1" applyAlignment="1">
      <alignment horizontal="center" vertical="center" wrapText="1"/>
    </xf>
    <xf numFmtId="170" fontId="31" fillId="0" borderId="12" xfId="0" applyNumberFormat="1" applyFont="1" applyFill="1" applyBorder="1" applyAlignment="1">
      <alignment horizontal="center" vertical="center" wrapText="1"/>
    </xf>
    <xf numFmtId="170" fontId="31" fillId="0" borderId="20" xfId="0" applyNumberFormat="1" applyFont="1" applyFill="1" applyBorder="1" applyAlignment="1">
      <alignment horizontal="center" vertical="center" wrapText="1"/>
    </xf>
    <xf numFmtId="2" fontId="31" fillId="0" borderId="12" xfId="0" applyNumberFormat="1" applyFont="1" applyFill="1" applyBorder="1" applyAlignment="1">
      <alignment horizontal="center" vertical="center" wrapText="1"/>
    </xf>
    <xf numFmtId="3" fontId="31" fillId="0" borderId="4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3" fontId="31" fillId="0" borderId="15" xfId="0" applyNumberFormat="1" applyFont="1" applyFill="1" applyBorder="1" applyAlignment="1">
      <alignment horizontal="justify" vertical="center" wrapText="1"/>
    </xf>
    <xf numFmtId="3" fontId="31" fillId="0" borderId="12" xfId="0" applyNumberFormat="1" applyFont="1" applyFill="1" applyBorder="1" applyAlignment="1">
      <alignment horizontal="center" vertical="center"/>
    </xf>
    <xf numFmtId="167" fontId="31" fillId="0" borderId="32" xfId="0" applyNumberFormat="1" applyFont="1" applyFill="1" applyBorder="1" applyAlignment="1">
      <alignment horizontal="center" vertical="center"/>
    </xf>
    <xf numFmtId="167" fontId="31" fillId="0" borderId="24" xfId="0" applyNumberFormat="1" applyFont="1" applyFill="1" applyBorder="1" applyAlignment="1">
      <alignment horizontal="center" vertical="center"/>
    </xf>
    <xf numFmtId="170" fontId="31" fillId="0" borderId="24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2" fontId="31" fillId="0" borderId="12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4" fontId="31" fillId="0" borderId="46" xfId="0" applyNumberFormat="1" applyFont="1" applyFill="1" applyBorder="1" applyAlignment="1">
      <alignment horizontal="center" vertical="center"/>
    </xf>
    <xf numFmtId="178" fontId="0" fillId="0" borderId="0" xfId="0" applyNumberFormat="1"/>
    <xf numFmtId="3" fontId="31" fillId="0" borderId="65" xfId="0" applyNumberFormat="1" applyFont="1" applyFill="1" applyBorder="1" applyAlignment="1">
      <alignment horizontal="center" vertical="center"/>
    </xf>
    <xf numFmtId="170" fontId="31" fillId="0" borderId="20" xfId="0" applyNumberFormat="1" applyFont="1" applyFill="1" applyBorder="1" applyAlignment="1">
      <alignment horizontal="center" vertical="center"/>
    </xf>
    <xf numFmtId="170" fontId="31" fillId="0" borderId="20" xfId="0" applyNumberFormat="1" applyFont="1" applyFill="1" applyBorder="1" applyAlignment="1">
      <alignment horizontal="right" vertical="center"/>
    </xf>
    <xf numFmtId="3" fontId="31" fillId="0" borderId="41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left" vertical="center" wrapText="1"/>
    </xf>
    <xf numFmtId="167" fontId="31" fillId="0" borderId="12" xfId="0" applyNumberFormat="1" applyFont="1" applyFill="1" applyBorder="1" applyAlignment="1">
      <alignment horizontal="center" vertical="center"/>
    </xf>
    <xf numFmtId="170" fontId="31" fillId="0" borderId="12" xfId="0" applyNumberFormat="1" applyFont="1" applyFill="1" applyBorder="1" applyAlignment="1">
      <alignment horizontal="right" vertical="center"/>
    </xf>
    <xf numFmtId="4" fontId="31" fillId="27" borderId="12" xfId="0" applyNumberFormat="1" applyFont="1" applyFill="1" applyBorder="1" applyAlignment="1">
      <alignment horizontal="center" vertical="center"/>
    </xf>
    <xf numFmtId="4" fontId="31" fillId="0" borderId="41" xfId="0" applyNumberFormat="1" applyFont="1" applyFill="1" applyBorder="1" applyAlignment="1">
      <alignment horizontal="center" vertical="center"/>
    </xf>
    <xf numFmtId="4" fontId="31" fillId="0" borderId="0" xfId="0" applyNumberFormat="1" applyFont="1" applyFill="1" applyBorder="1" applyAlignment="1">
      <alignment horizontal="center"/>
    </xf>
    <xf numFmtId="3" fontId="31" fillId="0" borderId="32" xfId="0" applyNumberFormat="1" applyFont="1" applyFill="1" applyBorder="1" applyAlignment="1">
      <alignment horizontal="left" vertical="center" wrapText="1"/>
    </xf>
    <xf numFmtId="3" fontId="31" fillId="0" borderId="28" xfId="0" applyNumberFormat="1" applyFont="1" applyFill="1" applyBorder="1" applyAlignment="1">
      <alignment horizontal="center" vertical="center"/>
    </xf>
    <xf numFmtId="167" fontId="31" fillId="0" borderId="28" xfId="0" applyNumberFormat="1" applyFont="1" applyFill="1" applyBorder="1" applyAlignment="1">
      <alignment horizontal="center" vertical="center"/>
    </xf>
    <xf numFmtId="170" fontId="31" fillId="0" borderId="28" xfId="0" applyNumberFormat="1" applyFont="1" applyFill="1" applyBorder="1" applyAlignment="1">
      <alignment horizontal="right" vertical="center"/>
    </xf>
    <xf numFmtId="4" fontId="31" fillId="27" borderId="28" xfId="0" applyNumberFormat="1" applyFont="1" applyFill="1" applyBorder="1" applyAlignment="1">
      <alignment horizontal="center" vertical="center"/>
    </xf>
    <xf numFmtId="3" fontId="31" fillId="0" borderId="42" xfId="0" applyNumberFormat="1" applyFont="1" applyFill="1" applyBorder="1" applyAlignment="1">
      <alignment horizontal="center" vertical="center"/>
    </xf>
    <xf numFmtId="3" fontId="31" fillId="0" borderId="12" xfId="0" applyNumberFormat="1" applyFont="1" applyFill="1" applyBorder="1" applyAlignment="1">
      <alignment horizontal="right" vertical="center"/>
    </xf>
    <xf numFmtId="3" fontId="31" fillId="0" borderId="12" xfId="0" applyNumberFormat="1" applyFont="1" applyFill="1" applyBorder="1" applyAlignment="1">
      <alignment horizontal="left" vertical="center"/>
    </xf>
    <xf numFmtId="178" fontId="31" fillId="0" borderId="12" xfId="0" applyNumberFormat="1" applyFont="1" applyFill="1" applyBorder="1" applyAlignment="1">
      <alignment horizontal="center" vertical="center"/>
    </xf>
    <xf numFmtId="3" fontId="31" fillId="0" borderId="40" xfId="0" applyNumberFormat="1" applyFont="1" applyFill="1" applyBorder="1" applyAlignment="1">
      <alignment horizontal="center" vertical="center"/>
    </xf>
    <xf numFmtId="170" fontId="31" fillId="0" borderId="12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left"/>
    </xf>
    <xf numFmtId="3" fontId="31" fillId="0" borderId="12" xfId="0" applyNumberFormat="1" applyFont="1" applyFill="1" applyBorder="1" applyAlignment="1">
      <alignment horizontal="center"/>
    </xf>
    <xf numFmtId="167" fontId="31" fillId="0" borderId="12" xfId="0" applyNumberFormat="1" applyFont="1" applyFill="1" applyBorder="1" applyAlignment="1">
      <alignment horizontal="center"/>
    </xf>
    <xf numFmtId="3" fontId="31" fillId="0" borderId="50" xfId="0" applyNumberFormat="1" applyFont="1" applyFill="1" applyBorder="1" applyAlignment="1">
      <alignment horizontal="right" vertical="center"/>
    </xf>
    <xf numFmtId="178" fontId="31" fillId="0" borderId="12" xfId="0" applyNumberFormat="1" applyFont="1" applyFill="1" applyBorder="1" applyAlignment="1">
      <alignment horizontal="right" vertical="center"/>
    </xf>
    <xf numFmtId="2" fontId="31" fillId="0" borderId="40" xfId="0" applyNumberFormat="1" applyFont="1" applyFill="1" applyBorder="1" applyAlignment="1">
      <alignment horizontal="right" vertical="center"/>
    </xf>
    <xf numFmtId="2" fontId="31" fillId="0" borderId="24" xfId="0" applyNumberFormat="1" applyFont="1" applyFill="1" applyBorder="1" applyAlignment="1">
      <alignment vertical="center"/>
    </xf>
    <xf numFmtId="4" fontId="31" fillId="0" borderId="0" xfId="0" applyNumberFormat="1" applyFont="1" applyFill="1" applyBorder="1"/>
    <xf numFmtId="10" fontId="33" fillId="0" borderId="0" xfId="0" applyNumberFormat="1" applyFont="1" applyFill="1" applyBorder="1" applyAlignment="1">
      <alignment horizontal="center"/>
    </xf>
    <xf numFmtId="4" fontId="31" fillId="0" borderId="0" xfId="0" applyNumberFormat="1" applyFont="1" applyFill="1" applyBorder="1" applyAlignment="1" applyProtection="1">
      <alignment horizontal="right"/>
      <protection locked="0"/>
    </xf>
    <xf numFmtId="3" fontId="31" fillId="0" borderId="0" xfId="0" applyNumberFormat="1" applyFont="1" applyFill="1" applyBorder="1"/>
    <xf numFmtId="3" fontId="31" fillId="0" borderId="0" xfId="0" applyNumberFormat="1" applyFont="1" applyBorder="1"/>
    <xf numFmtId="4" fontId="31" fillId="0" borderId="0" xfId="0" applyNumberFormat="1" applyFont="1" applyFill="1" applyBorder="1" applyAlignment="1">
      <alignment vertical="center"/>
    </xf>
    <xf numFmtId="10" fontId="31" fillId="0" borderId="0" xfId="0" applyNumberFormat="1" applyFont="1" applyFill="1" applyBorder="1" applyAlignment="1">
      <alignment horizontal="center"/>
    </xf>
    <xf numFmtId="3" fontId="31" fillId="0" borderId="27" xfId="0" applyNumberFormat="1" applyFont="1" applyFill="1" applyBorder="1" applyAlignment="1">
      <alignment horizontal="left" vertical="center" wrapText="1"/>
    </xf>
    <xf numFmtId="3" fontId="31" fillId="0" borderId="12" xfId="0" applyNumberFormat="1" applyFont="1" applyFill="1" applyBorder="1" applyAlignment="1">
      <alignment horizontal="justify" vertical="center" wrapText="1"/>
    </xf>
    <xf numFmtId="4" fontId="31" fillId="0" borderId="28" xfId="0" applyNumberFormat="1" applyFont="1" applyFill="1" applyBorder="1" applyAlignment="1">
      <alignment horizontal="center" vertical="center"/>
    </xf>
    <xf numFmtId="4" fontId="31" fillId="0" borderId="0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left" vertical="center"/>
    </xf>
    <xf numFmtId="167" fontId="0" fillId="24" borderId="15" xfId="0" applyNumberFormat="1" applyFont="1" applyFill="1" applyBorder="1" applyAlignment="1">
      <alignment horizontal="center" vertical="center"/>
    </xf>
    <xf numFmtId="167" fontId="0" fillId="0" borderId="15" xfId="0" applyNumberFormat="1" applyFont="1" applyFill="1" applyBorder="1" applyAlignment="1">
      <alignment horizontal="center" vertical="center"/>
    </xf>
    <xf numFmtId="0" fontId="0" fillId="24" borderId="42" xfId="0" applyFont="1" applyFill="1" applyBorder="1" applyAlignment="1">
      <alignment horizontal="left" vertical="center"/>
    </xf>
    <xf numFmtId="0" fontId="0" fillId="24" borderId="12" xfId="0" applyFont="1" applyFill="1" applyBorder="1" applyAlignment="1">
      <alignment horizontal="center" vertical="center"/>
    </xf>
    <xf numFmtId="3" fontId="31" fillId="24" borderId="42" xfId="0" applyNumberFormat="1" applyFont="1" applyFill="1" applyBorder="1" applyAlignment="1">
      <alignment horizontal="left" vertical="center"/>
    </xf>
    <xf numFmtId="3" fontId="31" fillId="24" borderId="12" xfId="0" applyNumberFormat="1" applyFont="1" applyFill="1" applyBorder="1" applyAlignment="1">
      <alignment horizontal="center" vertical="center"/>
    </xf>
    <xf numFmtId="167" fontId="31" fillId="24" borderId="12" xfId="0" applyNumberFormat="1" applyFont="1" applyFill="1" applyBorder="1" applyAlignment="1">
      <alignment horizontal="center" vertical="center"/>
    </xf>
    <xf numFmtId="3" fontId="31" fillId="24" borderId="42" xfId="0" applyNumberFormat="1" applyFont="1" applyFill="1" applyBorder="1" applyAlignment="1">
      <alignment horizontal="justify" vertical="center" wrapText="1"/>
    </xf>
    <xf numFmtId="3" fontId="31" fillId="24" borderId="40" xfId="0" applyNumberFormat="1" applyFont="1" applyFill="1" applyBorder="1" applyAlignment="1">
      <alignment horizontal="left" vertical="center"/>
    </xf>
    <xf numFmtId="4" fontId="31" fillId="0" borderId="0" xfId="0" applyNumberFormat="1" applyFont="1" applyAlignment="1">
      <alignment horizontal="center" vertical="center"/>
    </xf>
    <xf numFmtId="3" fontId="31" fillId="24" borderId="27" xfId="0" applyNumberFormat="1" applyFont="1" applyFill="1" applyBorder="1" applyAlignment="1">
      <alignment horizontal="center" vertical="center"/>
    </xf>
    <xf numFmtId="167" fontId="31" fillId="24" borderId="27" xfId="0" applyNumberFormat="1" applyFont="1" applyFill="1" applyBorder="1" applyAlignment="1">
      <alignment horizontal="center" vertical="center"/>
    </xf>
    <xf numFmtId="3" fontId="31" fillId="24" borderId="26" xfId="0" applyNumberFormat="1" applyFont="1" applyFill="1" applyBorder="1" applyAlignment="1">
      <alignment horizontal="center" vertical="center"/>
    </xf>
    <xf numFmtId="4" fontId="31" fillId="0" borderId="24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vertical="top" wrapText="1"/>
    </xf>
    <xf numFmtId="4" fontId="31" fillId="0" borderId="11" xfId="48" applyNumberFormat="1" applyFont="1" applyFill="1" applyBorder="1" applyAlignment="1">
      <alignment wrapText="1"/>
    </xf>
    <xf numFmtId="3" fontId="31" fillId="0" borderId="42" xfId="0" applyNumberFormat="1" applyFont="1" applyFill="1" applyBorder="1" applyAlignment="1">
      <alignment horizontal="justify" vertical="center" wrapText="1"/>
    </xf>
    <xf numFmtId="0" fontId="18" fillId="0" borderId="24" xfId="0" applyFont="1" applyFill="1" applyBorder="1" applyAlignment="1">
      <alignment horizontal="center" vertical="center" wrapText="1"/>
    </xf>
    <xf numFmtId="4" fontId="41" fillId="4" borderId="66" xfId="48" applyNumberFormat="1" applyFont="1" applyFill="1" applyBorder="1" applyAlignment="1">
      <alignment horizontal="center" vertical="center"/>
    </xf>
    <xf numFmtId="4" fontId="31" fillId="24" borderId="27" xfId="33" applyNumberFormat="1" applyFont="1" applyFill="1" applyBorder="1" applyAlignment="1">
      <alignment horizontal="center" vertical="center"/>
    </xf>
    <xf numFmtId="4" fontId="31" fillId="0" borderId="0" xfId="0" applyNumberFormat="1" applyFont="1" applyFill="1" applyAlignment="1">
      <alignment horizontal="center"/>
    </xf>
    <xf numFmtId="0" fontId="18" fillId="28" borderId="24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top"/>
    </xf>
    <xf numFmtId="0" fontId="18" fillId="0" borderId="24" xfId="0" applyNumberFormat="1" applyFont="1" applyFill="1" applyBorder="1" applyAlignment="1">
      <alignment horizontal="justify" vertical="center" wrapText="1"/>
    </xf>
    <xf numFmtId="0" fontId="18" fillId="0" borderId="24" xfId="0" applyNumberFormat="1" applyFont="1" applyFill="1" applyBorder="1" applyAlignment="1">
      <alignment horizontal="center" vertical="center"/>
    </xf>
    <xf numFmtId="0" fontId="31" fillId="0" borderId="67" xfId="0" applyFont="1" applyBorder="1" applyAlignment="1">
      <alignment horizontal="center" vertical="center"/>
    </xf>
    <xf numFmtId="2" fontId="31" fillId="0" borderId="67" xfId="0" applyNumberFormat="1" applyFont="1" applyFill="1" applyBorder="1" applyAlignment="1">
      <alignment horizontal="center" vertical="center"/>
    </xf>
    <xf numFmtId="0" fontId="18" fillId="28" borderId="0" xfId="0" applyFont="1" applyFill="1" applyBorder="1" applyAlignment="1">
      <alignment vertical="top" wrapText="1"/>
    </xf>
    <xf numFmtId="165" fontId="36" fillId="28" borderId="0" xfId="53" applyFont="1" applyFill="1" applyBorder="1" applyAlignment="1">
      <alignment vertical="center" wrapText="1"/>
    </xf>
    <xf numFmtId="165" fontId="39" fillId="28" borderId="0" xfId="53" applyFill="1" applyBorder="1" applyAlignment="1">
      <alignment vertical="center" wrapText="1"/>
    </xf>
    <xf numFmtId="4" fontId="31" fillId="0" borderId="46" xfId="48" applyNumberFormat="1" applyFont="1" applyFill="1" applyBorder="1" applyAlignment="1">
      <alignment horizontal="center" vertical="center"/>
    </xf>
    <xf numFmtId="4" fontId="31" fillId="0" borderId="48" xfId="48" applyNumberFormat="1" applyFont="1" applyFill="1" applyBorder="1" applyAlignment="1">
      <alignment horizontal="right" vertical="center"/>
    </xf>
    <xf numFmtId="4" fontId="31" fillId="0" borderId="30" xfId="48" applyNumberFormat="1" applyFont="1" applyFill="1" applyBorder="1" applyAlignment="1">
      <alignment horizontal="center" vertical="center"/>
    </xf>
    <xf numFmtId="4" fontId="31" fillId="0" borderId="40" xfId="48" applyNumberFormat="1" applyFont="1" applyFill="1" applyBorder="1" applyAlignment="1">
      <alignment horizontal="right" vertical="center"/>
    </xf>
    <xf numFmtId="4" fontId="31" fillId="0" borderId="26" xfId="48" applyNumberFormat="1" applyFont="1" applyFill="1" applyBorder="1" applyAlignment="1">
      <alignment horizontal="left" vertical="center"/>
    </xf>
    <xf numFmtId="4" fontId="31" fillId="0" borderId="26" xfId="48" applyNumberFormat="1" applyFont="1" applyFill="1" applyBorder="1" applyAlignment="1">
      <alignment vertical="center"/>
    </xf>
    <xf numFmtId="4" fontId="31" fillId="0" borderId="27" xfId="48" applyNumberFormat="1" applyFont="1" applyFill="1" applyBorder="1" applyAlignment="1">
      <alignment vertical="center"/>
    </xf>
    <xf numFmtId="2" fontId="31" fillId="0" borderId="0" xfId="0" applyNumberFormat="1" applyFont="1" applyFill="1"/>
    <xf numFmtId="2" fontId="31" fillId="0" borderId="0" xfId="0" applyNumberFormat="1" applyFont="1" applyFill="1" applyAlignment="1">
      <alignment vertical="center"/>
    </xf>
    <xf numFmtId="49" fontId="19" fillId="24" borderId="24" xfId="0" applyNumberFormat="1" applyFont="1" applyFill="1" applyBorder="1" applyAlignment="1">
      <alignment horizontal="center" vertical="center"/>
    </xf>
    <xf numFmtId="0" fontId="18" fillId="0" borderId="24" xfId="39" applyFont="1" applyFill="1" applyBorder="1" applyAlignment="1">
      <alignment horizontal="justify" vertical="center" wrapText="1"/>
    </xf>
    <xf numFmtId="2" fontId="31" fillId="0" borderId="0" xfId="0" applyNumberFormat="1" applyFont="1"/>
    <xf numFmtId="0" fontId="38" fillId="0" borderId="0" xfId="0" applyFont="1"/>
    <xf numFmtId="10" fontId="31" fillId="0" borderId="0" xfId="0" applyNumberFormat="1" applyFont="1"/>
    <xf numFmtId="2" fontId="31" fillId="0" borderId="0" xfId="0" applyNumberFormat="1" applyFont="1" applyAlignment="1">
      <alignment vertical="center"/>
    </xf>
    <xf numFmtId="165" fontId="31" fillId="0" borderId="0" xfId="53" applyFont="1" applyFill="1" applyAlignment="1">
      <alignment vertical="center"/>
    </xf>
    <xf numFmtId="0" fontId="38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Fill="1" applyAlignment="1">
      <alignment vertical="center"/>
    </xf>
    <xf numFmtId="0" fontId="38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2" fontId="48" fillId="0" borderId="0" xfId="0" applyNumberFormat="1" applyFont="1" applyFill="1" applyAlignment="1">
      <alignment vertical="center"/>
    </xf>
    <xf numFmtId="0" fontId="49" fillId="0" borderId="0" xfId="0" applyFont="1" applyAlignment="1">
      <alignment vertical="center"/>
    </xf>
    <xf numFmtId="2" fontId="34" fillId="0" borderId="0" xfId="0" applyNumberFormat="1" applyFont="1" applyFill="1" applyAlignment="1">
      <alignment vertical="center"/>
    </xf>
    <xf numFmtId="2" fontId="31" fillId="0" borderId="0" xfId="0" applyNumberFormat="1" applyFont="1" applyFill="1" applyBorder="1" applyAlignment="1">
      <alignment vertical="center"/>
    </xf>
    <xf numFmtId="169" fontId="31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/>
    </xf>
    <xf numFmtId="2" fontId="31" fillId="0" borderId="0" xfId="0" applyNumberFormat="1" applyFont="1" applyBorder="1" applyAlignment="1">
      <alignment vertical="center"/>
    </xf>
    <xf numFmtId="3" fontId="31" fillId="0" borderId="32" xfId="0" applyNumberFormat="1" applyFont="1" applyFill="1" applyBorder="1" applyAlignment="1">
      <alignment horizontal="justify" vertical="center" wrapText="1"/>
    </xf>
    <xf numFmtId="3" fontId="31" fillId="0" borderId="0" xfId="0" applyNumberFormat="1" applyFont="1" applyFill="1" applyAlignment="1">
      <alignment horizontal="center"/>
    </xf>
    <xf numFmtId="3" fontId="31" fillId="0" borderId="0" xfId="0" applyNumberFormat="1" applyFont="1" applyAlignment="1">
      <alignment horizontal="justify"/>
    </xf>
    <xf numFmtId="3" fontId="31" fillId="0" borderId="0" xfId="0" applyNumberFormat="1" applyFont="1" applyAlignment="1">
      <alignment horizontal="center"/>
    </xf>
    <xf numFmtId="4" fontId="31" fillId="4" borderId="10" xfId="0" applyNumberFormat="1" applyFont="1" applyFill="1" applyBorder="1" applyAlignment="1">
      <alignment horizontal="center"/>
    </xf>
    <xf numFmtId="4" fontId="31" fillId="4" borderId="32" xfId="0" applyNumberFormat="1" applyFont="1" applyFill="1" applyBorder="1" applyAlignment="1">
      <alignment horizontal="center"/>
    </xf>
    <xf numFmtId="3" fontId="31" fillId="4" borderId="19" xfId="0" applyNumberFormat="1" applyFont="1" applyFill="1" applyBorder="1" applyAlignment="1">
      <alignment horizontal="center"/>
    </xf>
    <xf numFmtId="3" fontId="31" fillId="24" borderId="0" xfId="0" applyNumberFormat="1" applyFont="1" applyFill="1" applyAlignment="1">
      <alignment horizontal="justify"/>
    </xf>
    <xf numFmtId="3" fontId="31" fillId="24" borderId="0" xfId="0" applyNumberFormat="1" applyFont="1" applyFill="1" applyAlignment="1">
      <alignment horizontal="center"/>
    </xf>
    <xf numFmtId="0" fontId="31" fillId="0" borderId="31" xfId="0" applyFont="1" applyBorder="1" applyAlignment="1">
      <alignment vertical="center"/>
    </xf>
    <xf numFmtId="0" fontId="31" fillId="0" borderId="31" xfId="0" applyFont="1" applyFill="1" applyBorder="1" applyAlignment="1">
      <alignment vertical="center"/>
    </xf>
    <xf numFmtId="0" fontId="31" fillId="0" borderId="69" xfId="0" applyFont="1" applyBorder="1" applyAlignment="1">
      <alignment vertic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47" fillId="4" borderId="70" xfId="0" applyNumberFormat="1" applyFont="1" applyFill="1" applyBorder="1" applyAlignment="1">
      <alignment horizontal="center"/>
    </xf>
    <xf numFmtId="3" fontId="47" fillId="4" borderId="71" xfId="0" applyNumberFormat="1" applyFont="1" applyFill="1" applyBorder="1" applyAlignment="1">
      <alignment horizontal="center"/>
    </xf>
    <xf numFmtId="3" fontId="47" fillId="4" borderId="72" xfId="0" applyNumberFormat="1" applyFont="1" applyFill="1" applyBorder="1" applyAlignment="1">
      <alignment horizontal="justify"/>
    </xf>
    <xf numFmtId="3" fontId="47" fillId="4" borderId="24" xfId="0" applyNumberFormat="1" applyFont="1" applyFill="1" applyBorder="1" applyAlignment="1">
      <alignment horizontal="center"/>
    </xf>
    <xf numFmtId="4" fontId="41" fillId="4" borderId="73" xfId="48" applyNumberFormat="1" applyFont="1" applyFill="1" applyBorder="1" applyAlignment="1">
      <alignment horizontal="center" vertical="center"/>
    </xf>
    <xf numFmtId="4" fontId="41" fillId="4" borderId="74" xfId="48" applyNumberFormat="1" applyFont="1" applyFill="1" applyBorder="1" applyAlignment="1">
      <alignment horizontal="center" vertical="center"/>
    </xf>
    <xf numFmtId="2" fontId="31" fillId="0" borderId="0" xfId="0" applyNumberFormat="1" applyFont="1" applyFill="1" applyAlignment="1">
      <alignment horizontal="center"/>
    </xf>
    <xf numFmtId="2" fontId="31" fillId="4" borderId="32" xfId="0" applyNumberFormat="1" applyFont="1" applyFill="1" applyBorder="1" applyAlignment="1" applyProtection="1">
      <alignment horizontal="center"/>
      <protection locked="0"/>
    </xf>
    <xf numFmtId="2" fontId="47" fillId="4" borderId="71" xfId="0" applyNumberFormat="1" applyFont="1" applyFill="1" applyBorder="1" applyAlignment="1">
      <alignment horizontal="center"/>
    </xf>
    <xf numFmtId="0" fontId="31" fillId="0" borderId="0" xfId="0" applyNumberFormat="1" applyFont="1"/>
    <xf numFmtId="0" fontId="45" fillId="26" borderId="59" xfId="0" applyFont="1" applyFill="1" applyBorder="1" applyAlignment="1">
      <alignment vertical="center"/>
    </xf>
    <xf numFmtId="0" fontId="45" fillId="26" borderId="75" xfId="0" applyFont="1" applyFill="1" applyBorder="1" applyAlignment="1">
      <alignment vertical="center"/>
    </xf>
    <xf numFmtId="0" fontId="19" fillId="29" borderId="24" xfId="0" applyFont="1" applyFill="1" applyBorder="1" applyAlignment="1">
      <alignment horizontal="center" vertical="center" wrapText="1"/>
    </xf>
    <xf numFmtId="0" fontId="19" fillId="26" borderId="24" xfId="0" applyFont="1" applyFill="1" applyBorder="1" applyAlignment="1">
      <alignment horizontal="center" vertical="top"/>
    </xf>
    <xf numFmtId="4" fontId="19" fillId="29" borderId="24" xfId="53" applyNumberFormat="1" applyFont="1" applyFill="1" applyBorder="1" applyAlignment="1" applyProtection="1">
      <alignment horizontal="center" vertical="center" wrapText="1"/>
    </xf>
    <xf numFmtId="4" fontId="31" fillId="0" borderId="50" xfId="0" applyNumberFormat="1" applyFont="1" applyBorder="1" applyAlignment="1">
      <alignment horizontal="justify" vertical="top" wrapText="1"/>
    </xf>
    <xf numFmtId="4" fontId="31" fillId="0" borderId="0" xfId="0" applyNumberFormat="1" applyFont="1" applyBorder="1" applyAlignment="1">
      <alignment horizontal="justify" vertical="top" wrapText="1"/>
    </xf>
    <xf numFmtId="0" fontId="19" fillId="0" borderId="24" xfId="0" applyFont="1" applyBorder="1" applyAlignment="1">
      <alignment horizontal="center" vertical="center" wrapText="1"/>
    </xf>
    <xf numFmtId="0" fontId="31" fillId="30" borderId="31" xfId="0" applyFont="1" applyFill="1" applyBorder="1" applyAlignment="1">
      <alignment vertical="center"/>
    </xf>
    <xf numFmtId="2" fontId="31" fillId="30" borderId="0" xfId="0" applyNumberFormat="1" applyFont="1" applyFill="1" applyAlignment="1">
      <alignment vertical="center"/>
    </xf>
    <xf numFmtId="0" fontId="31" fillId="30" borderId="0" xfId="0" applyFont="1" applyFill="1" applyAlignment="1">
      <alignment vertical="center"/>
    </xf>
    <xf numFmtId="0" fontId="38" fillId="30" borderId="0" xfId="0" applyFont="1" applyFill="1" applyAlignment="1">
      <alignment vertical="center"/>
    </xf>
    <xf numFmtId="4" fontId="31" fillId="0" borderId="24" xfId="0" applyNumberFormat="1" applyFont="1" applyFill="1" applyBorder="1" applyAlignment="1" applyProtection="1">
      <alignment horizontal="center" vertical="center"/>
      <protection locked="0"/>
    </xf>
    <xf numFmtId="4" fontId="31" fillId="30" borderId="0" xfId="0" applyNumberFormat="1" applyFont="1" applyFill="1" applyAlignment="1">
      <alignment vertical="center"/>
    </xf>
    <xf numFmtId="0" fontId="33" fillId="30" borderId="0" xfId="0" applyFont="1" applyFill="1" applyAlignment="1">
      <alignment vertical="center"/>
    </xf>
    <xf numFmtId="0" fontId="38" fillId="30" borderId="0" xfId="0" applyFont="1" applyFill="1" applyBorder="1" applyAlignment="1">
      <alignment horizontal="center" vertical="center"/>
    </xf>
    <xf numFmtId="0" fontId="31" fillId="30" borderId="0" xfId="0" applyFont="1" applyFill="1" applyAlignment="1">
      <alignment horizontal="center" vertical="center"/>
    </xf>
    <xf numFmtId="4" fontId="34" fillId="30" borderId="0" xfId="0" applyNumberFormat="1" applyFont="1" applyFill="1" applyAlignment="1">
      <alignment vertical="center"/>
    </xf>
    <xf numFmtId="14" fontId="31" fillId="30" borderId="0" xfId="0" applyNumberFormat="1" applyFont="1" applyFill="1" applyAlignment="1">
      <alignment vertical="center"/>
    </xf>
    <xf numFmtId="3" fontId="31" fillId="31" borderId="24" xfId="0" applyNumberFormat="1" applyFont="1" applyFill="1" applyBorder="1" applyAlignment="1">
      <alignment horizontal="justify" vertical="center"/>
    </xf>
    <xf numFmtId="3" fontId="31" fillId="31" borderId="24" xfId="0" applyNumberFormat="1" applyFont="1" applyFill="1" applyBorder="1" applyAlignment="1">
      <alignment horizontal="center" vertical="center"/>
    </xf>
    <xf numFmtId="2" fontId="31" fillId="31" borderId="24" xfId="0" applyNumberFormat="1" applyFont="1" applyFill="1" applyBorder="1" applyAlignment="1" applyProtection="1">
      <alignment horizontal="center" vertical="center"/>
      <protection locked="0"/>
    </xf>
    <xf numFmtId="1" fontId="31" fillId="31" borderId="24" xfId="0" applyNumberFormat="1" applyFont="1" applyFill="1" applyBorder="1" applyAlignment="1">
      <alignment horizontal="center" vertical="center"/>
    </xf>
    <xf numFmtId="2" fontId="31" fillId="30" borderId="0" xfId="0" applyNumberFormat="1" applyFont="1" applyFill="1" applyBorder="1" applyAlignment="1">
      <alignment vertical="center"/>
    </xf>
    <xf numFmtId="0" fontId="31" fillId="30" borderId="0" xfId="0" applyFont="1" applyFill="1" applyBorder="1" applyAlignment="1">
      <alignment vertical="center"/>
    </xf>
    <xf numFmtId="0" fontId="31" fillId="30" borderId="69" xfId="0" applyFont="1" applyFill="1" applyBorder="1" applyAlignment="1">
      <alignment vertical="center"/>
    </xf>
    <xf numFmtId="4" fontId="31" fillId="0" borderId="24" xfId="53" applyNumberFormat="1" applyFont="1" applyFill="1" applyBorder="1" applyAlignment="1">
      <alignment horizontal="center" vertical="center"/>
    </xf>
    <xf numFmtId="0" fontId="31" fillId="31" borderId="24" xfId="0" applyFont="1" applyFill="1" applyBorder="1" applyAlignment="1">
      <alignment horizontal="center" vertical="center"/>
    </xf>
    <xf numFmtId="4" fontId="31" fillId="31" borderId="24" xfId="48" applyNumberFormat="1" applyFont="1" applyFill="1" applyBorder="1" applyAlignment="1">
      <alignment horizontal="justify" vertical="center" wrapText="1"/>
    </xf>
    <xf numFmtId="2" fontId="31" fillId="31" borderId="24" xfId="0" applyNumberFormat="1" applyFont="1" applyFill="1" applyBorder="1" applyAlignment="1">
      <alignment horizontal="center" vertical="center"/>
    </xf>
    <xf numFmtId="0" fontId="31" fillId="31" borderId="59" xfId="0" applyFont="1" applyFill="1" applyBorder="1" applyAlignment="1">
      <alignment horizontal="center" vertical="center"/>
    </xf>
    <xf numFmtId="0" fontId="31" fillId="32" borderId="24" xfId="0" applyFont="1" applyFill="1" applyBorder="1" applyAlignment="1">
      <alignment horizontal="justify" vertical="center" wrapText="1"/>
    </xf>
    <xf numFmtId="0" fontId="31" fillId="32" borderId="32" xfId="0" applyFont="1" applyFill="1" applyBorder="1" applyAlignment="1">
      <alignment horizontal="center" vertical="center"/>
    </xf>
    <xf numFmtId="168" fontId="31" fillId="31" borderId="24" xfId="0" applyNumberFormat="1" applyFont="1" applyFill="1" applyBorder="1" applyAlignment="1">
      <alignment horizontal="center" vertical="center"/>
    </xf>
    <xf numFmtId="0" fontId="31" fillId="31" borderId="24" xfId="0" applyFont="1" applyFill="1" applyBorder="1" applyAlignment="1">
      <alignment horizontal="justify" vertical="center" wrapText="1"/>
    </xf>
    <xf numFmtId="4" fontId="31" fillId="31" borderId="24" xfId="48" applyNumberFormat="1" applyFont="1" applyFill="1" applyBorder="1" applyAlignment="1">
      <alignment horizontal="justify" vertical="center"/>
    </xf>
    <xf numFmtId="3" fontId="31" fillId="31" borderId="76" xfId="0" applyNumberFormat="1" applyFont="1" applyFill="1" applyBorder="1" applyAlignment="1">
      <alignment horizontal="justify" vertical="center" wrapText="1"/>
    </xf>
    <xf numFmtId="3" fontId="31" fillId="31" borderId="76" xfId="0" applyNumberFormat="1" applyFont="1" applyFill="1" applyBorder="1" applyAlignment="1">
      <alignment horizontal="center" vertical="center"/>
    </xf>
    <xf numFmtId="168" fontId="31" fillId="32" borderId="76" xfId="0" applyNumberFormat="1" applyFont="1" applyFill="1" applyBorder="1" applyAlignment="1">
      <alignment horizontal="center" vertical="center" wrapText="1"/>
    </xf>
    <xf numFmtId="3" fontId="31" fillId="31" borderId="24" xfId="0" applyNumberFormat="1" applyFont="1" applyFill="1" applyBorder="1" applyAlignment="1">
      <alignment horizontal="justify" vertical="center" wrapText="1"/>
    </xf>
    <xf numFmtId="4" fontId="31" fillId="31" borderId="24" xfId="0" applyNumberFormat="1" applyFont="1" applyFill="1" applyBorder="1" applyAlignment="1">
      <alignment horizontal="justify" vertical="center" wrapText="1"/>
    </xf>
    <xf numFmtId="4" fontId="31" fillId="31" borderId="24" xfId="0" applyNumberFormat="1" applyFont="1" applyFill="1" applyBorder="1" applyAlignment="1" applyProtection="1">
      <alignment horizontal="center" vertical="center"/>
      <protection locked="0"/>
    </xf>
    <xf numFmtId="0" fontId="19" fillId="0" borderId="24" xfId="0" applyFont="1" applyFill="1" applyBorder="1" applyAlignment="1">
      <alignment horizontal="center" vertical="center"/>
    </xf>
    <xf numFmtId="4" fontId="31" fillId="24" borderId="15" xfId="33" applyNumberFormat="1" applyFont="1" applyFill="1" applyBorder="1" applyAlignment="1">
      <alignment horizontal="center" vertical="center"/>
    </xf>
    <xf numFmtId="4" fontId="31" fillId="24" borderId="12" xfId="48" applyNumberFormat="1" applyFont="1" applyFill="1" applyBorder="1" applyAlignment="1">
      <alignment horizontal="right" vertical="center"/>
    </xf>
    <xf numFmtId="0" fontId="39" fillId="0" borderId="0" xfId="38"/>
    <xf numFmtId="0" fontId="50" fillId="0" borderId="0" xfId="0" applyFont="1"/>
    <xf numFmtId="0" fontId="46" fillId="0" borderId="0" xfId="0" applyFont="1" applyFill="1" applyBorder="1" applyAlignment="1"/>
    <xf numFmtId="0" fontId="50" fillId="0" borderId="0" xfId="0" applyFont="1" applyFill="1" applyBorder="1"/>
    <xf numFmtId="0" fontId="46" fillId="0" borderId="0" xfId="0" applyFont="1" applyBorder="1" applyAlignment="1">
      <alignment horizontal="center"/>
    </xf>
    <xf numFmtId="0" fontId="46" fillId="0" borderId="0" xfId="0" applyFont="1" applyFill="1" applyBorder="1" applyAlignment="1">
      <alignment horizontal="center"/>
    </xf>
    <xf numFmtId="0" fontId="46" fillId="0" borderId="0" xfId="0" applyFont="1" applyAlignment="1">
      <alignment horizontal="left"/>
    </xf>
    <xf numFmtId="179" fontId="46" fillId="0" borderId="0" xfId="0" applyNumberFormat="1" applyFont="1" applyAlignment="1">
      <alignment horizontal="left"/>
    </xf>
    <xf numFmtId="179" fontId="50" fillId="0" borderId="0" xfId="0" applyNumberFormat="1" applyFont="1"/>
    <xf numFmtId="0" fontId="50" fillId="0" borderId="0" xfId="0" applyFont="1" applyBorder="1"/>
    <xf numFmtId="0" fontId="50" fillId="34" borderId="142" xfId="0" applyFont="1" applyFill="1" applyBorder="1" applyAlignment="1">
      <alignment horizontal="center"/>
    </xf>
    <xf numFmtId="0" fontId="50" fillId="34" borderId="143" xfId="0" applyFont="1" applyFill="1" applyBorder="1" applyAlignment="1">
      <alignment horizontal="center"/>
    </xf>
    <xf numFmtId="0" fontId="46" fillId="34" borderId="144" xfId="0" applyFont="1" applyFill="1" applyBorder="1" applyAlignment="1">
      <alignment horizontal="center"/>
    </xf>
    <xf numFmtId="0" fontId="46" fillId="34" borderId="145" xfId="0" applyFont="1" applyFill="1" applyBorder="1" applyAlignment="1">
      <alignment horizontal="center"/>
    </xf>
    <xf numFmtId="0" fontId="46" fillId="34" borderId="146" xfId="0" applyFont="1" applyFill="1" applyBorder="1" applyAlignment="1">
      <alignment horizontal="center"/>
    </xf>
    <xf numFmtId="0" fontId="46" fillId="34" borderId="147" xfId="0" applyFont="1" applyFill="1" applyBorder="1" applyAlignment="1">
      <alignment horizontal="center"/>
    </xf>
    <xf numFmtId="0" fontId="46" fillId="34" borderId="106" xfId="0" applyFont="1" applyFill="1" applyBorder="1" applyAlignment="1">
      <alignment horizontal="center"/>
    </xf>
    <xf numFmtId="0" fontId="46" fillId="34" borderId="148" xfId="0" applyFont="1" applyFill="1" applyBorder="1" applyAlignment="1">
      <alignment horizontal="center"/>
    </xf>
    <xf numFmtId="0" fontId="46" fillId="0" borderId="16" xfId="0" applyFont="1" applyBorder="1" applyAlignment="1"/>
    <xf numFmtId="0" fontId="46" fillId="0" borderId="0" xfId="0" applyFont="1" applyBorder="1" applyAlignment="1"/>
    <xf numFmtId="0" fontId="46" fillId="0" borderId="115" xfId="0" applyFont="1" applyBorder="1" applyAlignment="1">
      <alignment horizontal="center" vertical="center"/>
    </xf>
    <xf numFmtId="0" fontId="50" fillId="0" borderId="127" xfId="0" applyFont="1" applyBorder="1" applyAlignment="1">
      <alignment horizontal="center" vertical="center"/>
    </xf>
    <xf numFmtId="0" fontId="46" fillId="0" borderId="127" xfId="0" applyFont="1" applyFill="1" applyBorder="1" applyAlignment="1">
      <alignment horizontal="center"/>
    </xf>
    <xf numFmtId="0" fontId="46" fillId="0" borderId="149" xfId="0" applyFont="1" applyFill="1" applyBorder="1" applyAlignment="1">
      <alignment horizontal="center"/>
    </xf>
    <xf numFmtId="0" fontId="46" fillId="0" borderId="68" xfId="0" applyFont="1" applyFill="1" applyBorder="1" applyAlignment="1">
      <alignment horizontal="center"/>
    </xf>
    <xf numFmtId="0" fontId="46" fillId="0" borderId="150" xfId="0" applyFont="1" applyFill="1" applyBorder="1" applyAlignment="1">
      <alignment horizontal="center"/>
    </xf>
    <xf numFmtId="0" fontId="46" fillId="0" borderId="0" xfId="0" applyFont="1" applyAlignment="1"/>
    <xf numFmtId="0" fontId="46" fillId="0" borderId="115" xfId="0" applyFont="1" applyBorder="1" applyAlignment="1">
      <alignment horizontal="center"/>
    </xf>
    <xf numFmtId="0" fontId="46" fillId="0" borderId="127" xfId="0" applyFont="1" applyBorder="1"/>
    <xf numFmtId="2" fontId="46" fillId="0" borderId="127" xfId="0" applyNumberFormat="1" applyFont="1" applyBorder="1" applyAlignment="1">
      <alignment horizontal="right"/>
    </xf>
    <xf numFmtId="2" fontId="46" fillId="0" borderId="149" xfId="0" applyNumberFormat="1" applyFont="1" applyBorder="1" applyAlignment="1">
      <alignment horizontal="right"/>
    </xf>
    <xf numFmtId="4" fontId="50" fillId="0" borderId="68" xfId="0" applyNumberFormat="1" applyFont="1" applyBorder="1"/>
    <xf numFmtId="4" fontId="46" fillId="0" borderId="149" xfId="0" applyNumberFormat="1" applyFont="1" applyBorder="1"/>
    <xf numFmtId="0" fontId="46" fillId="0" borderId="12" xfId="0" applyFont="1" applyBorder="1" applyAlignment="1">
      <alignment horizontal="right" vertical="center"/>
    </xf>
    <xf numFmtId="10" fontId="46" fillId="0" borderId="12" xfId="0" applyNumberFormat="1" applyFont="1" applyBorder="1" applyAlignment="1"/>
    <xf numFmtId="0" fontId="50" fillId="0" borderId="115" xfId="0" applyFont="1" applyBorder="1" applyAlignment="1">
      <alignment horizontal="center"/>
    </xf>
    <xf numFmtId="0" fontId="0" fillId="0" borderId="127" xfId="39" applyFont="1" applyBorder="1"/>
    <xf numFmtId="2" fontId="50" fillId="0" borderId="149" xfId="0" applyNumberFormat="1" applyFont="1" applyBorder="1"/>
    <xf numFmtId="4" fontId="46" fillId="0" borderId="150" xfId="0" applyNumberFormat="1" applyFont="1" applyBorder="1"/>
    <xf numFmtId="0" fontId="46" fillId="0" borderId="0" xfId="0" applyFont="1" applyBorder="1" applyAlignment="1">
      <alignment horizontal="right" vertical="center"/>
    </xf>
    <xf numFmtId="10" fontId="46" fillId="0" borderId="0" xfId="0" applyNumberFormat="1" applyFont="1" applyBorder="1" applyAlignment="1"/>
    <xf numFmtId="0" fontId="46" fillId="33" borderId="0" xfId="0" applyFont="1" applyFill="1" applyBorder="1" applyAlignment="1">
      <alignment horizontal="left" vertical="center"/>
    </xf>
    <xf numFmtId="0" fontId="50" fillId="0" borderId="127" xfId="0" applyFont="1" applyBorder="1"/>
    <xf numFmtId="2" fontId="50" fillId="0" borderId="127" xfId="0" applyNumberFormat="1" applyFont="1" applyBorder="1"/>
    <xf numFmtId="0" fontId="50" fillId="0" borderId="150" xfId="0" applyFont="1" applyBorder="1"/>
    <xf numFmtId="2" fontId="46" fillId="0" borderId="127" xfId="0" applyNumberFormat="1" applyFont="1" applyBorder="1"/>
    <xf numFmtId="2" fontId="46" fillId="0" borderId="149" xfId="0" applyNumberFormat="1" applyFont="1" applyBorder="1"/>
    <xf numFmtId="0" fontId="50" fillId="0" borderId="0" xfId="0" applyFont="1" applyAlignment="1"/>
    <xf numFmtId="0" fontId="50" fillId="0" borderId="127" xfId="0" applyFont="1" applyBorder="1" applyAlignment="1">
      <alignment horizontal="left"/>
    </xf>
    <xf numFmtId="2" fontId="50" fillId="0" borderId="127" xfId="0" applyNumberFormat="1" applyFont="1" applyBorder="1" applyAlignment="1">
      <alignment horizontal="right"/>
    </xf>
    <xf numFmtId="4" fontId="50" fillId="0" borderId="150" xfId="0" applyNumberFormat="1" applyFont="1" applyBorder="1"/>
    <xf numFmtId="0" fontId="50" fillId="0" borderId="115" xfId="0" applyFont="1" applyBorder="1" applyAlignment="1">
      <alignment horizontal="right"/>
    </xf>
    <xf numFmtId="2" fontId="46" fillId="0" borderId="0" xfId="0" applyNumberFormat="1" applyFont="1" applyBorder="1"/>
    <xf numFmtId="4" fontId="46" fillId="0" borderId="151" xfId="0" applyNumberFormat="1" applyFont="1" applyBorder="1"/>
    <xf numFmtId="4" fontId="50" fillId="0" borderId="144" xfId="0" applyNumberFormat="1" applyFont="1" applyBorder="1"/>
    <xf numFmtId="4" fontId="46" fillId="0" borderId="145" xfId="0" applyNumberFormat="1" applyFont="1" applyBorder="1"/>
    <xf numFmtId="175" fontId="50" fillId="0" borderId="0" xfId="0" applyNumberFormat="1" applyFont="1"/>
    <xf numFmtId="0" fontId="46" fillId="0" borderId="12" xfId="0" applyFont="1" applyBorder="1" applyAlignment="1"/>
    <xf numFmtId="175" fontId="46" fillId="0" borderId="12" xfId="0" applyNumberFormat="1" applyFont="1" applyBorder="1"/>
    <xf numFmtId="2" fontId="0" fillId="0" borderId="0" xfId="0" applyNumberFormat="1"/>
    <xf numFmtId="0" fontId="46" fillId="0" borderId="12" xfId="0" applyFont="1" applyBorder="1"/>
    <xf numFmtId="4" fontId="50" fillId="0" borderId="12" xfId="0" applyNumberFormat="1" applyFont="1" applyBorder="1"/>
    <xf numFmtId="0" fontId="50" fillId="0" borderId="12" xfId="0" applyFont="1" applyBorder="1" applyAlignment="1">
      <alignment horizontal="center"/>
    </xf>
    <xf numFmtId="0" fontId="51" fillId="0" borderId="0" xfId="0" applyFont="1" applyFill="1" applyBorder="1" applyAlignment="1"/>
    <xf numFmtId="4" fontId="50" fillId="36" borderId="12" xfId="0" applyNumberFormat="1" applyFont="1" applyFill="1" applyBorder="1"/>
    <xf numFmtId="4" fontId="20" fillId="0" borderId="0" xfId="32" applyNumberFormat="1" applyFont="1"/>
    <xf numFmtId="0" fontId="18" fillId="0" borderId="24" xfId="0" applyFont="1" applyFill="1" applyBorder="1" applyAlignment="1">
      <alignment horizontal="justify" vertical="center" wrapText="1"/>
    </xf>
    <xf numFmtId="4" fontId="31" fillId="0" borderId="14" xfId="48" applyNumberFormat="1" applyFont="1" applyFill="1" applyBorder="1" applyAlignment="1">
      <alignment horizontal="left" vertical="center" wrapText="1"/>
    </xf>
    <xf numFmtId="4" fontId="18" fillId="0" borderId="0" xfId="0" applyNumberFormat="1" applyFont="1" applyFill="1" applyBorder="1" applyAlignment="1">
      <alignment vertical="center"/>
    </xf>
    <xf numFmtId="1" fontId="31" fillId="31" borderId="24" xfId="0" applyNumberFormat="1" applyFont="1" applyFill="1" applyBorder="1" applyAlignment="1">
      <alignment horizontal="center" vertical="center" wrapText="1"/>
    </xf>
    <xf numFmtId="0" fontId="31" fillId="31" borderId="24" xfId="0" quotePrefix="1" applyFont="1" applyFill="1" applyBorder="1" applyAlignment="1">
      <alignment horizontal="center" vertical="center"/>
    </xf>
    <xf numFmtId="0" fontId="31" fillId="31" borderId="67" xfId="0" applyFont="1" applyFill="1" applyBorder="1" applyAlignment="1">
      <alignment horizontal="center" vertical="center"/>
    </xf>
    <xf numFmtId="0" fontId="31" fillId="31" borderId="76" xfId="0" applyNumberFormat="1" applyFont="1" applyFill="1" applyBorder="1" applyAlignment="1">
      <alignment horizontal="center" vertical="center"/>
    </xf>
    <xf numFmtId="14" fontId="18" fillId="0" borderId="0" xfId="0" applyNumberFormat="1" applyFont="1" applyFill="1" applyBorder="1"/>
    <xf numFmtId="0" fontId="19" fillId="24" borderId="0" xfId="0" applyFont="1" applyFill="1" applyBorder="1" applyAlignment="1">
      <alignment horizontal="center"/>
    </xf>
    <xf numFmtId="0" fontId="19" fillId="29" borderId="59" xfId="0" applyFont="1" applyFill="1" applyBorder="1" applyAlignment="1">
      <alignment horizontal="left" vertical="center" wrapText="1"/>
    </xf>
    <xf numFmtId="0" fontId="19" fillId="29" borderId="75" xfId="0" applyFont="1" applyFill="1" applyBorder="1" applyAlignment="1">
      <alignment horizontal="left" vertical="center" wrapText="1"/>
    </xf>
    <xf numFmtId="0" fontId="19" fillId="29" borderId="64" xfId="0" applyFont="1" applyFill="1" applyBorder="1" applyAlignment="1">
      <alignment horizontal="left" vertical="center" wrapText="1"/>
    </xf>
    <xf numFmtId="0" fontId="19" fillId="0" borderId="24" xfId="0" applyFont="1" applyFill="1" applyBorder="1" applyAlignment="1">
      <alignment horizontal="center" vertical="center"/>
    </xf>
    <xf numFmtId="0" fontId="19" fillId="24" borderId="24" xfId="0" applyFont="1" applyFill="1" applyBorder="1" applyAlignment="1">
      <alignment horizontal="center" vertical="center" wrapText="1"/>
    </xf>
    <xf numFmtId="0" fontId="19" fillId="24" borderId="24" xfId="0" applyFont="1" applyFill="1" applyBorder="1" applyAlignment="1">
      <alignment horizontal="center" vertical="center"/>
    </xf>
    <xf numFmtId="0" fontId="45" fillId="26" borderId="59" xfId="0" applyFont="1" applyFill="1" applyBorder="1" applyAlignment="1">
      <alignment horizontal="left" vertical="center"/>
    </xf>
    <xf numFmtId="0" fontId="45" fillId="26" borderId="75" xfId="0" applyFont="1" applyFill="1" applyBorder="1" applyAlignment="1">
      <alignment horizontal="left" vertical="center"/>
    </xf>
    <xf numFmtId="0" fontId="18" fillId="24" borderId="24" xfId="0" applyFont="1" applyFill="1" applyBorder="1" applyAlignment="1">
      <alignment horizontal="center"/>
    </xf>
    <xf numFmtId="0" fontId="19" fillId="0" borderId="24" xfId="0" applyFont="1" applyFill="1" applyBorder="1" applyAlignment="1">
      <alignment horizontal="left" vertical="center"/>
    </xf>
    <xf numFmtId="0" fontId="18" fillId="0" borderId="24" xfId="0" applyFont="1" applyFill="1" applyBorder="1" applyAlignment="1">
      <alignment horizontal="justify" vertical="center" wrapText="1"/>
    </xf>
    <xf numFmtId="14" fontId="19" fillId="0" borderId="24" xfId="0" applyNumberFormat="1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 wrapText="1"/>
    </xf>
    <xf numFmtId="4" fontId="19" fillId="0" borderId="24" xfId="0" applyNumberFormat="1" applyFont="1" applyFill="1" applyBorder="1" applyAlignment="1">
      <alignment horizontal="center" vertical="center"/>
    </xf>
    <xf numFmtId="17" fontId="19" fillId="0" borderId="80" xfId="0" quotePrefix="1" applyNumberFormat="1" applyFont="1" applyFill="1" applyBorder="1" applyAlignment="1">
      <alignment horizontal="center" vertical="center"/>
    </xf>
    <xf numFmtId="0" fontId="19" fillId="0" borderId="77" xfId="0" applyFont="1" applyFill="1" applyBorder="1" applyAlignment="1">
      <alignment horizontal="center" vertical="center"/>
    </xf>
    <xf numFmtId="0" fontId="19" fillId="0" borderId="78" xfId="0" applyFont="1" applyFill="1" applyBorder="1" applyAlignment="1">
      <alignment horizontal="center" vertical="center"/>
    </xf>
    <xf numFmtId="0" fontId="19" fillId="0" borderId="8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82" xfId="0" applyFont="1" applyFill="1" applyBorder="1" applyAlignment="1">
      <alignment horizontal="center" vertical="center"/>
    </xf>
    <xf numFmtId="0" fontId="19" fillId="0" borderId="83" xfId="0" applyFont="1" applyFill="1" applyBorder="1" applyAlignment="1">
      <alignment horizontal="center" vertical="center"/>
    </xf>
    <xf numFmtId="0" fontId="19" fillId="0" borderId="134" xfId="0" applyFont="1" applyFill="1" applyBorder="1" applyAlignment="1">
      <alignment horizontal="center" vertical="center"/>
    </xf>
    <xf numFmtId="0" fontId="19" fillId="0" borderId="84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 wrapText="1"/>
    </xf>
    <xf numFmtId="0" fontId="19" fillId="0" borderId="64" xfId="0" applyFont="1" applyFill="1" applyBorder="1" applyAlignment="1">
      <alignment horizontal="center" vertical="center" wrapText="1"/>
    </xf>
    <xf numFmtId="4" fontId="31" fillId="24" borderId="14" xfId="48" applyNumberFormat="1" applyFont="1" applyFill="1" applyBorder="1" applyAlignment="1">
      <alignment horizontal="left" vertical="center" wrapText="1"/>
    </xf>
    <xf numFmtId="4" fontId="32" fillId="0" borderId="86" xfId="48" applyNumberFormat="1" applyFont="1" applyFill="1" applyBorder="1" applyAlignment="1">
      <alignment horizontal="center" vertical="center"/>
    </xf>
    <xf numFmtId="4" fontId="32" fillId="24" borderId="92" xfId="48" applyNumberFormat="1" applyFont="1" applyFill="1" applyBorder="1" applyAlignment="1">
      <alignment horizontal="left" vertical="center"/>
    </xf>
    <xf numFmtId="4" fontId="31" fillId="24" borderId="14" xfId="48" applyNumberFormat="1" applyFont="1" applyFill="1" applyBorder="1" applyAlignment="1">
      <alignment horizontal="right" vertical="center"/>
    </xf>
    <xf numFmtId="4" fontId="32" fillId="0" borderId="85" xfId="48" applyNumberFormat="1" applyFont="1" applyFill="1" applyBorder="1" applyAlignment="1">
      <alignment horizontal="center" vertical="center"/>
    </xf>
    <xf numFmtId="4" fontId="32" fillId="0" borderId="87" xfId="48" applyNumberFormat="1" applyFont="1" applyFill="1" applyBorder="1" applyAlignment="1">
      <alignment horizontal="center" vertical="center"/>
    </xf>
    <xf numFmtId="4" fontId="31" fillId="24" borderId="42" xfId="48" applyNumberFormat="1" applyFont="1" applyFill="1" applyBorder="1" applyAlignment="1">
      <alignment horizontal="right" vertical="center"/>
    </xf>
    <xf numFmtId="4" fontId="31" fillId="24" borderId="88" xfId="48" applyNumberFormat="1" applyFont="1" applyFill="1" applyBorder="1" applyAlignment="1">
      <alignment horizontal="center" vertical="center"/>
    </xf>
    <xf numFmtId="4" fontId="31" fillId="24" borderId="77" xfId="48" applyNumberFormat="1" applyFont="1" applyFill="1" applyBorder="1" applyAlignment="1">
      <alignment horizontal="center" vertical="center"/>
    </xf>
    <xf numFmtId="4" fontId="31" fillId="24" borderId="89" xfId="48" applyNumberFormat="1" applyFont="1" applyFill="1" applyBorder="1" applyAlignment="1">
      <alignment horizontal="center" vertical="center"/>
    </xf>
    <xf numFmtId="4" fontId="31" fillId="24" borderId="14" xfId="48" applyNumberFormat="1" applyFont="1" applyFill="1" applyBorder="1" applyAlignment="1">
      <alignment horizontal="left" vertical="center"/>
    </xf>
    <xf numFmtId="4" fontId="31" fillId="24" borderId="90" xfId="48" applyNumberFormat="1" applyFont="1" applyFill="1" applyBorder="1" applyAlignment="1">
      <alignment horizontal="right" vertical="center"/>
    </xf>
    <xf numFmtId="4" fontId="31" fillId="24" borderId="91" xfId="48" applyNumberFormat="1" applyFont="1" applyFill="1" applyBorder="1" applyAlignment="1">
      <alignment horizontal="right" vertical="center"/>
    </xf>
    <xf numFmtId="4" fontId="31" fillId="24" borderId="36" xfId="48" applyNumberFormat="1" applyFont="1" applyFill="1" applyBorder="1" applyAlignment="1">
      <alignment horizontal="right" vertical="center"/>
    </xf>
    <xf numFmtId="4" fontId="32" fillId="4" borderId="93" xfId="0" applyNumberFormat="1" applyFont="1" applyFill="1" applyBorder="1" applyAlignment="1">
      <alignment horizontal="center" vertical="center" wrapText="1"/>
    </xf>
    <xf numFmtId="4" fontId="31" fillId="24" borderId="11" xfId="33" applyNumberFormat="1" applyFont="1" applyFill="1" applyBorder="1" applyAlignment="1">
      <alignment horizontal="left" vertical="center"/>
    </xf>
    <xf numFmtId="4" fontId="31" fillId="24" borderId="26" xfId="33" applyNumberFormat="1" applyFont="1" applyFill="1" applyBorder="1" applyAlignment="1">
      <alignment horizontal="left" vertical="center"/>
    </xf>
    <xf numFmtId="4" fontId="31" fillId="24" borderId="27" xfId="33" applyNumberFormat="1" applyFont="1" applyFill="1" applyBorder="1" applyAlignment="1">
      <alignment horizontal="left" vertical="center"/>
    </xf>
    <xf numFmtId="4" fontId="31" fillId="24" borderId="15" xfId="33" applyNumberFormat="1" applyFont="1" applyFill="1" applyBorder="1" applyAlignment="1">
      <alignment horizontal="center" vertical="center"/>
    </xf>
    <xf numFmtId="4" fontId="31" fillId="24" borderId="94" xfId="33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justify" vertical="center" wrapText="1"/>
    </xf>
    <xf numFmtId="4" fontId="31" fillId="24" borderId="26" xfId="48" applyNumberFormat="1" applyFont="1" applyFill="1" applyBorder="1" applyAlignment="1">
      <alignment horizontal="justify" vertical="center" wrapText="1"/>
    </xf>
    <xf numFmtId="4" fontId="31" fillId="24" borderId="27" xfId="48" applyNumberFormat="1" applyFont="1" applyFill="1" applyBorder="1" applyAlignment="1">
      <alignment horizontal="justify" vertical="center" wrapText="1"/>
    </xf>
    <xf numFmtId="4" fontId="31" fillId="0" borderId="14" xfId="48" applyNumberFormat="1" applyFont="1" applyFill="1" applyBorder="1" applyAlignment="1">
      <alignment horizontal="left" vertical="center" wrapText="1"/>
    </xf>
    <xf numFmtId="4" fontId="32" fillId="24" borderId="104" xfId="48" applyNumberFormat="1" applyFont="1" applyFill="1" applyBorder="1" applyAlignment="1">
      <alignment horizontal="left" vertical="center"/>
    </xf>
    <xf numFmtId="4" fontId="32" fillId="24" borderId="105" xfId="48" applyNumberFormat="1" applyFont="1" applyFill="1" applyBorder="1" applyAlignment="1">
      <alignment horizontal="left" vertical="center"/>
    </xf>
    <xf numFmtId="4" fontId="32" fillId="24" borderId="106" xfId="48" applyNumberFormat="1" applyFont="1" applyFill="1" applyBorder="1" applyAlignment="1">
      <alignment horizontal="left" vertical="center"/>
    </xf>
    <xf numFmtId="4" fontId="31" fillId="24" borderId="12" xfId="48" applyNumberFormat="1" applyFont="1" applyFill="1" applyBorder="1" applyAlignment="1">
      <alignment horizontal="right" vertical="center"/>
    </xf>
    <xf numFmtId="4" fontId="31" fillId="24" borderId="124" xfId="33" applyNumberFormat="1" applyFont="1" applyFill="1" applyBorder="1" applyAlignment="1">
      <alignment horizontal="center" vertical="center"/>
    </xf>
    <xf numFmtId="4" fontId="31" fillId="24" borderId="125" xfId="33" applyNumberFormat="1" applyFont="1" applyFill="1" applyBorder="1" applyAlignment="1">
      <alignment horizontal="center" vertical="center"/>
    </xf>
    <xf numFmtId="4" fontId="31" fillId="0" borderId="11" xfId="33" applyNumberFormat="1" applyFont="1" applyFill="1" applyBorder="1" applyAlignment="1">
      <alignment horizontal="left" vertical="center"/>
    </xf>
    <xf numFmtId="4" fontId="31" fillId="0" borderId="26" xfId="33" applyNumberFormat="1" applyFont="1" applyFill="1" applyBorder="1" applyAlignment="1">
      <alignment horizontal="left" vertical="center"/>
    </xf>
    <xf numFmtId="4" fontId="31" fillId="0" borderId="27" xfId="33" applyNumberFormat="1" applyFont="1" applyFill="1" applyBorder="1" applyAlignment="1">
      <alignment horizontal="left" vertical="center"/>
    </xf>
    <xf numFmtId="4" fontId="32" fillId="0" borderId="11" xfId="48" applyNumberFormat="1" applyFont="1" applyFill="1" applyBorder="1" applyAlignment="1">
      <alignment horizontal="center" vertical="center"/>
    </xf>
    <xf numFmtId="4" fontId="32" fillId="0" borderId="26" xfId="48" applyNumberFormat="1" applyFont="1" applyFill="1" applyBorder="1" applyAlignment="1">
      <alignment horizontal="center" vertical="center"/>
    </xf>
    <xf numFmtId="4" fontId="32" fillId="0" borderId="94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right" vertical="center"/>
    </xf>
    <xf numFmtId="4" fontId="31" fillId="24" borderId="26" xfId="48" applyNumberFormat="1" applyFont="1" applyFill="1" applyBorder="1" applyAlignment="1">
      <alignment horizontal="right" vertical="center"/>
    </xf>
    <xf numFmtId="4" fontId="31" fillId="24" borderId="27" xfId="48" applyNumberFormat="1" applyFont="1" applyFill="1" applyBorder="1" applyAlignment="1">
      <alignment horizontal="right" vertical="center"/>
    </xf>
    <xf numFmtId="4" fontId="31" fillId="24" borderId="42" xfId="48" applyNumberFormat="1" applyFont="1" applyFill="1" applyBorder="1" applyAlignment="1">
      <alignment horizontal="left" vertical="center" wrapText="1"/>
    </xf>
    <xf numFmtId="4" fontId="31" fillId="24" borderId="23" xfId="48" applyNumberFormat="1" applyFont="1" applyFill="1" applyBorder="1" applyAlignment="1">
      <alignment horizontal="right" vertical="center"/>
    </xf>
    <xf numFmtId="4" fontId="31" fillId="0" borderId="40" xfId="33" applyNumberFormat="1" applyFont="1" applyFill="1" applyBorder="1" applyAlignment="1">
      <alignment horizontal="left" vertical="center"/>
    </xf>
    <xf numFmtId="4" fontId="31" fillId="24" borderId="97" xfId="33" applyNumberFormat="1" applyFont="1" applyFill="1" applyBorder="1" applyAlignment="1">
      <alignment horizontal="center" vertical="center"/>
    </xf>
    <xf numFmtId="4" fontId="31" fillId="24" borderId="98" xfId="48" applyNumberFormat="1" applyFont="1" applyFill="1" applyBorder="1" applyAlignment="1">
      <alignment horizontal="center" vertical="center"/>
    </xf>
    <xf numFmtId="4" fontId="32" fillId="4" borderId="95" xfId="0" applyNumberFormat="1" applyFont="1" applyFill="1" applyBorder="1" applyAlignment="1">
      <alignment horizontal="center" vertical="center" wrapText="1"/>
    </xf>
    <xf numFmtId="4" fontId="32" fillId="4" borderId="96" xfId="0" applyNumberFormat="1" applyFont="1" applyFill="1" applyBorder="1" applyAlignment="1">
      <alignment horizontal="center" vertical="center" wrapText="1"/>
    </xf>
    <xf numFmtId="4" fontId="32" fillId="24" borderId="99" xfId="48" applyNumberFormat="1" applyFont="1" applyFill="1" applyBorder="1" applyAlignment="1">
      <alignment horizontal="left" vertical="center"/>
    </xf>
    <xf numFmtId="4" fontId="32" fillId="24" borderId="100" xfId="48" applyNumberFormat="1" applyFont="1" applyFill="1" applyBorder="1" applyAlignment="1">
      <alignment horizontal="left" vertical="center"/>
    </xf>
    <xf numFmtId="4" fontId="31" fillId="0" borderId="42" xfId="48" applyNumberFormat="1" applyFont="1" applyFill="1" applyBorder="1" applyAlignment="1">
      <alignment horizontal="left" vertical="center" wrapText="1"/>
    </xf>
    <xf numFmtId="4" fontId="31" fillId="0" borderId="15" xfId="33" applyNumberFormat="1" applyFont="1" applyFill="1" applyBorder="1" applyAlignment="1">
      <alignment horizontal="center" vertical="center"/>
    </xf>
    <xf numFmtId="4" fontId="31" fillId="0" borderId="94" xfId="33" applyNumberFormat="1" applyFont="1" applyFill="1" applyBorder="1" applyAlignment="1">
      <alignment horizontal="center" vertical="center"/>
    </xf>
    <xf numFmtId="4" fontId="31" fillId="24" borderId="30" xfId="48" applyNumberFormat="1" applyFont="1" applyFill="1" applyBorder="1" applyAlignment="1">
      <alignment horizontal="right" vertical="center"/>
    </xf>
    <xf numFmtId="4" fontId="31" fillId="24" borderId="16" xfId="48" applyNumberFormat="1" applyFont="1" applyFill="1" applyBorder="1" applyAlignment="1">
      <alignment horizontal="center" vertical="center"/>
    </xf>
    <xf numFmtId="4" fontId="31" fillId="24" borderId="0" xfId="48" applyNumberFormat="1" applyFont="1" applyFill="1" applyBorder="1" applyAlignment="1">
      <alignment horizontal="center" vertical="center"/>
    </xf>
    <xf numFmtId="4" fontId="31" fillId="24" borderId="68" xfId="48" applyNumberFormat="1" applyFont="1" applyFill="1" applyBorder="1" applyAlignment="1">
      <alignment horizontal="center" vertical="center"/>
    </xf>
    <xf numFmtId="4" fontId="32" fillId="4" borderId="110" xfId="0" applyNumberFormat="1" applyFont="1" applyFill="1" applyBorder="1" applyAlignment="1">
      <alignment horizontal="center" vertical="center" wrapText="1"/>
    </xf>
    <xf numFmtId="4" fontId="32" fillId="4" borderId="111" xfId="0" applyNumberFormat="1" applyFont="1" applyFill="1" applyBorder="1" applyAlignment="1">
      <alignment horizontal="center" vertical="center" wrapText="1"/>
    </xf>
    <xf numFmtId="4" fontId="31" fillId="24" borderId="10" xfId="33" applyNumberFormat="1" applyFont="1" applyFill="1" applyBorder="1" applyAlignment="1">
      <alignment horizontal="center" vertical="center"/>
    </xf>
    <xf numFmtId="4" fontId="31" fillId="24" borderId="39" xfId="33" applyNumberFormat="1" applyFont="1" applyFill="1" applyBorder="1" applyAlignment="1">
      <alignment horizontal="center" vertical="center"/>
    </xf>
    <xf numFmtId="4" fontId="31" fillId="24" borderId="112" xfId="33" applyNumberFormat="1" applyFont="1" applyFill="1" applyBorder="1" applyAlignment="1">
      <alignment horizontal="left" vertical="center"/>
    </xf>
    <xf numFmtId="4" fontId="31" fillId="24" borderId="32" xfId="33" applyNumberFormat="1" applyFont="1" applyFill="1" applyBorder="1" applyAlignment="1">
      <alignment horizontal="left" vertical="center"/>
    </xf>
    <xf numFmtId="4" fontId="31" fillId="24" borderId="19" xfId="33" applyNumberFormat="1" applyFont="1" applyFill="1" applyBorder="1" applyAlignment="1">
      <alignment horizontal="left" vertical="center"/>
    </xf>
    <xf numFmtId="4" fontId="31" fillId="24" borderId="45" xfId="48" applyNumberFormat="1" applyFont="1" applyFill="1" applyBorder="1" applyAlignment="1">
      <alignment horizontal="right" vertical="center"/>
    </xf>
    <xf numFmtId="4" fontId="31" fillId="24" borderId="24" xfId="48" applyNumberFormat="1" applyFont="1" applyFill="1" applyBorder="1" applyAlignment="1">
      <alignment horizontal="right" vertical="center"/>
    </xf>
    <xf numFmtId="3" fontId="31" fillId="0" borderId="12" xfId="0" applyNumberFormat="1" applyFont="1" applyFill="1" applyBorder="1" applyAlignment="1">
      <alignment horizontal="right" vertical="center"/>
    </xf>
    <xf numFmtId="2" fontId="31" fillId="0" borderId="42" xfId="0" applyNumberFormat="1" applyFont="1" applyFill="1" applyBorder="1" applyAlignment="1">
      <alignment horizontal="left" vertical="center"/>
    </xf>
    <xf numFmtId="2" fontId="31" fillId="0" borderId="20" xfId="0" applyNumberFormat="1" applyFont="1" applyFill="1" applyBorder="1" applyAlignment="1">
      <alignment horizontal="left" vertical="center"/>
    </xf>
    <xf numFmtId="2" fontId="31" fillId="0" borderId="12" xfId="0" applyNumberFormat="1" applyFont="1" applyFill="1" applyBorder="1" applyAlignment="1">
      <alignment horizontal="left" vertical="center"/>
    </xf>
    <xf numFmtId="2" fontId="31" fillId="0" borderId="109" xfId="0" applyNumberFormat="1" applyFont="1" applyFill="1" applyBorder="1" applyAlignment="1">
      <alignment horizontal="left" vertical="center"/>
    </xf>
    <xf numFmtId="2" fontId="31" fillId="0" borderId="26" xfId="0" applyNumberFormat="1" applyFont="1" applyFill="1" applyBorder="1" applyAlignment="1">
      <alignment horizontal="left" vertical="center"/>
    </xf>
    <xf numFmtId="2" fontId="31" fillId="0" borderId="27" xfId="0" applyNumberFormat="1" applyFont="1" applyFill="1" applyBorder="1" applyAlignment="1">
      <alignment horizontal="left" vertical="center"/>
    </xf>
    <xf numFmtId="3" fontId="31" fillId="0" borderId="48" xfId="48" applyFont="1" applyFill="1" applyBorder="1" applyAlignment="1">
      <alignment horizontal="left" vertical="center" wrapText="1"/>
    </xf>
    <xf numFmtId="3" fontId="31" fillId="0" borderId="91" xfId="48" applyFont="1" applyFill="1" applyBorder="1" applyAlignment="1">
      <alignment horizontal="left" vertical="center" wrapText="1"/>
    </xf>
    <xf numFmtId="3" fontId="31" fillId="0" borderId="129" xfId="48" applyFont="1" applyFill="1" applyBorder="1" applyAlignment="1">
      <alignment horizontal="left" vertical="center" wrapText="1"/>
    </xf>
    <xf numFmtId="3" fontId="31" fillId="0" borderId="91" xfId="48" applyFont="1" applyFill="1" applyBorder="1" applyAlignment="1">
      <alignment horizontal="center" vertical="center" wrapText="1"/>
    </xf>
    <xf numFmtId="3" fontId="31" fillId="0" borderId="130" xfId="48" applyFont="1" applyFill="1" applyBorder="1" applyAlignment="1">
      <alignment horizontal="center" vertical="center" wrapText="1"/>
    </xf>
    <xf numFmtId="3" fontId="31" fillId="0" borderId="121" xfId="0" applyNumberFormat="1" applyFont="1" applyFill="1" applyBorder="1" applyAlignment="1">
      <alignment horizontal="justify" vertical="center" wrapText="1"/>
    </xf>
    <xf numFmtId="3" fontId="31" fillId="0" borderId="122" xfId="0" applyNumberFormat="1" applyFont="1" applyFill="1" applyBorder="1" applyAlignment="1">
      <alignment horizontal="justify" vertical="center" wrapText="1"/>
    </xf>
    <xf numFmtId="3" fontId="31" fillId="0" borderId="123" xfId="0" applyNumberFormat="1" applyFont="1" applyFill="1" applyBorder="1" applyAlignment="1">
      <alignment horizontal="justify" vertical="center" wrapText="1"/>
    </xf>
    <xf numFmtId="4" fontId="32" fillId="0" borderId="107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left" vertical="center" wrapText="1"/>
    </xf>
    <xf numFmtId="4" fontId="31" fillId="24" borderId="26" xfId="48" applyNumberFormat="1" applyFont="1" applyFill="1" applyBorder="1" applyAlignment="1">
      <alignment horizontal="left" vertical="center" wrapText="1"/>
    </xf>
    <xf numFmtId="4" fontId="31" fillId="24" borderId="27" xfId="48" applyNumberFormat="1" applyFont="1" applyFill="1" applyBorder="1" applyAlignment="1">
      <alignment horizontal="left" vertical="center" wrapText="1"/>
    </xf>
    <xf numFmtId="4" fontId="31" fillId="24" borderId="40" xfId="48" applyNumberFormat="1" applyFont="1" applyFill="1" applyBorder="1" applyAlignment="1">
      <alignment horizontal="justify" vertical="center" wrapText="1"/>
    </xf>
    <xf numFmtId="2" fontId="32" fillId="0" borderId="117" xfId="0" applyNumberFormat="1" applyFont="1" applyFill="1" applyBorder="1" applyAlignment="1">
      <alignment horizontal="left" vertical="center"/>
    </xf>
    <xf numFmtId="2" fontId="32" fillId="0" borderId="56" xfId="0" applyNumberFormat="1" applyFont="1" applyFill="1" applyBorder="1" applyAlignment="1">
      <alignment horizontal="left" vertical="center"/>
    </xf>
    <xf numFmtId="2" fontId="32" fillId="0" borderId="118" xfId="0" applyNumberFormat="1" applyFont="1" applyFill="1" applyBorder="1" applyAlignment="1">
      <alignment horizontal="left" vertical="center"/>
    </xf>
    <xf numFmtId="3" fontId="31" fillId="0" borderId="42" xfId="0" applyNumberFormat="1" applyFont="1" applyFill="1" applyBorder="1" applyAlignment="1">
      <alignment horizontal="right" vertical="center"/>
    </xf>
    <xf numFmtId="0" fontId="19" fillId="0" borderId="40" xfId="0" applyNumberFormat="1" applyFont="1" applyFill="1" applyBorder="1" applyAlignment="1">
      <alignment horizontal="center" vertical="center"/>
    </xf>
    <xf numFmtId="0" fontId="19" fillId="0" borderId="26" xfId="0" applyNumberFormat="1" applyFont="1" applyFill="1" applyBorder="1" applyAlignment="1">
      <alignment horizontal="center" vertical="center"/>
    </xf>
    <xf numFmtId="0" fontId="19" fillId="0" borderId="97" xfId="0" applyNumberFormat="1" applyFont="1" applyFill="1" applyBorder="1" applyAlignment="1">
      <alignment horizontal="center" vertical="center"/>
    </xf>
    <xf numFmtId="3" fontId="31" fillId="0" borderId="114" xfId="0" applyNumberFormat="1" applyFont="1" applyFill="1" applyBorder="1" applyAlignment="1">
      <alignment horizontal="right" vertical="center"/>
    </xf>
    <xf numFmtId="3" fontId="31" fillId="0" borderId="28" xfId="0" applyNumberFormat="1" applyFont="1" applyFill="1" applyBorder="1" applyAlignment="1">
      <alignment horizontal="right" vertical="center"/>
    </xf>
    <xf numFmtId="3" fontId="31" fillId="0" borderId="126" xfId="0" applyNumberFormat="1" applyFont="1" applyFill="1" applyBorder="1" applyAlignment="1">
      <alignment horizontal="right" vertical="center"/>
    </xf>
    <xf numFmtId="3" fontId="31" fillId="0" borderId="127" xfId="0" applyNumberFormat="1" applyFont="1" applyFill="1" applyBorder="1" applyAlignment="1">
      <alignment horizontal="right" vertical="center"/>
    </xf>
    <xf numFmtId="4" fontId="32" fillId="0" borderId="45" xfId="48" applyNumberFormat="1" applyFont="1" applyFill="1" applyBorder="1" applyAlignment="1">
      <alignment horizontal="center" vertical="center"/>
    </xf>
    <xf numFmtId="4" fontId="32" fillId="0" borderId="24" xfId="48" applyNumberFormat="1" applyFont="1" applyFill="1" applyBorder="1" applyAlignment="1">
      <alignment horizontal="center" vertical="center"/>
    </xf>
    <xf numFmtId="4" fontId="32" fillId="0" borderId="44" xfId="48" applyNumberFormat="1" applyFont="1" applyFill="1" applyBorder="1" applyAlignment="1">
      <alignment horizontal="center" vertical="center"/>
    </xf>
    <xf numFmtId="4" fontId="31" fillId="24" borderId="114" xfId="48" applyNumberFormat="1" applyFont="1" applyFill="1" applyBorder="1" applyAlignment="1">
      <alignment horizontal="right" vertical="center"/>
    </xf>
    <xf numFmtId="4" fontId="32" fillId="4" borderId="93" xfId="33" applyNumberFormat="1" applyFont="1" applyFill="1" applyBorder="1" applyAlignment="1">
      <alignment horizontal="center" vertical="center" wrapText="1"/>
    </xf>
    <xf numFmtId="4" fontId="31" fillId="24" borderId="14" xfId="33" applyNumberFormat="1" applyFont="1" applyFill="1" applyBorder="1" applyAlignment="1">
      <alignment horizontal="left" vertical="center" wrapText="1"/>
    </xf>
    <xf numFmtId="4" fontId="31" fillId="24" borderId="108" xfId="48" applyNumberFormat="1" applyFont="1" applyFill="1" applyBorder="1" applyAlignment="1">
      <alignment horizontal="right" vertical="center"/>
    </xf>
    <xf numFmtId="4" fontId="31" fillId="24" borderId="14" xfId="33" applyNumberFormat="1" applyFont="1" applyFill="1" applyBorder="1" applyAlignment="1">
      <alignment horizontal="right" vertical="center"/>
    </xf>
    <xf numFmtId="4" fontId="32" fillId="24" borderId="92" xfId="33" applyNumberFormat="1" applyFont="1" applyFill="1" applyBorder="1" applyAlignment="1">
      <alignment horizontal="left" vertical="center"/>
    </xf>
    <xf numFmtId="4" fontId="32" fillId="0" borderId="107" xfId="33" applyNumberFormat="1" applyFont="1" applyFill="1" applyBorder="1" applyAlignment="1">
      <alignment horizontal="center" vertical="center"/>
    </xf>
    <xf numFmtId="4" fontId="31" fillId="24" borderId="23" xfId="33" applyNumberFormat="1" applyFont="1" applyFill="1" applyBorder="1" applyAlignment="1">
      <alignment horizontal="right" vertical="center"/>
    </xf>
    <xf numFmtId="4" fontId="31" fillId="24" borderId="115" xfId="48" applyNumberFormat="1" applyFont="1" applyFill="1" applyBorder="1" applyAlignment="1">
      <alignment horizontal="right" vertical="center"/>
    </xf>
    <xf numFmtId="4" fontId="31" fillId="24" borderId="20" xfId="48" applyNumberFormat="1" applyFont="1" applyFill="1" applyBorder="1" applyAlignment="1">
      <alignment horizontal="right" vertical="center"/>
    </xf>
    <xf numFmtId="4" fontId="32" fillId="24" borderId="116" xfId="48" applyNumberFormat="1" applyFont="1" applyFill="1" applyBorder="1" applyAlignment="1">
      <alignment horizontal="left" vertical="center"/>
    </xf>
    <xf numFmtId="4" fontId="32" fillId="4" borderId="101" xfId="0" applyNumberFormat="1" applyFont="1" applyFill="1" applyBorder="1" applyAlignment="1">
      <alignment horizontal="center" vertical="center" wrapText="1"/>
    </xf>
    <xf numFmtId="4" fontId="32" fillId="4" borderId="102" xfId="0" applyNumberFormat="1" applyFont="1" applyFill="1" applyBorder="1" applyAlignment="1">
      <alignment horizontal="center" vertical="center" wrapText="1"/>
    </xf>
    <xf numFmtId="4" fontId="32" fillId="4" borderId="103" xfId="0" applyNumberFormat="1" applyFont="1" applyFill="1" applyBorder="1" applyAlignment="1">
      <alignment horizontal="center" vertical="center" wrapText="1"/>
    </xf>
    <xf numFmtId="4" fontId="31" fillId="0" borderId="11" xfId="48" applyNumberFormat="1" applyFont="1" applyFill="1" applyBorder="1" applyAlignment="1">
      <alignment horizontal="left" vertical="center" wrapText="1"/>
    </xf>
    <xf numFmtId="4" fontId="31" fillId="0" borderId="26" xfId="48" applyNumberFormat="1" applyFont="1" applyFill="1" applyBorder="1" applyAlignment="1">
      <alignment horizontal="left" vertical="center" wrapText="1"/>
    </xf>
    <xf numFmtId="4" fontId="31" fillId="0" borderId="27" xfId="48" applyNumberFormat="1" applyFont="1" applyFill="1" applyBorder="1" applyAlignment="1">
      <alignment horizontal="left" vertical="center" wrapText="1"/>
    </xf>
    <xf numFmtId="4" fontId="46" fillId="0" borderId="0" xfId="0" applyNumberFormat="1" applyFont="1" applyAlignment="1">
      <alignment horizontal="center" vertical="center" wrapText="1"/>
    </xf>
    <xf numFmtId="4" fontId="31" fillId="24" borderId="113" xfId="48" applyNumberFormat="1" applyFont="1" applyFill="1" applyBorder="1" applyAlignment="1">
      <alignment horizontal="right" vertical="center"/>
    </xf>
    <xf numFmtId="4" fontId="31" fillId="24" borderId="60" xfId="48" applyNumberFormat="1" applyFont="1" applyFill="1" applyBorder="1" applyAlignment="1">
      <alignment horizontal="right" vertical="center"/>
    </xf>
    <xf numFmtId="4" fontId="32" fillId="4" borderId="119" xfId="0" applyNumberFormat="1" applyFont="1" applyFill="1" applyBorder="1" applyAlignment="1">
      <alignment horizontal="center" vertical="center" wrapText="1"/>
    </xf>
    <xf numFmtId="4" fontId="32" fillId="4" borderId="120" xfId="0" applyNumberFormat="1" applyFont="1" applyFill="1" applyBorder="1" applyAlignment="1">
      <alignment horizontal="center" vertical="center" wrapText="1"/>
    </xf>
    <xf numFmtId="4" fontId="31" fillId="24" borderId="121" xfId="33" applyNumberFormat="1" applyFont="1" applyFill="1" applyBorder="1" applyAlignment="1">
      <alignment horizontal="left" vertical="center"/>
    </xf>
    <xf numFmtId="4" fontId="31" fillId="24" borderId="122" xfId="33" applyNumberFormat="1" applyFont="1" applyFill="1" applyBorder="1" applyAlignment="1">
      <alignment horizontal="left" vertical="center"/>
    </xf>
    <xf numFmtId="4" fontId="31" fillId="24" borderId="123" xfId="33" applyNumberFormat="1" applyFont="1" applyFill="1" applyBorder="1" applyAlignment="1">
      <alignment horizontal="left" vertical="center"/>
    </xf>
    <xf numFmtId="4" fontId="31" fillId="0" borderId="50" xfId="0" applyNumberFormat="1" applyFont="1" applyBorder="1" applyAlignment="1">
      <alignment horizontal="justify" vertical="top" wrapText="1"/>
    </xf>
    <xf numFmtId="4" fontId="31" fillId="0" borderId="0" xfId="0" applyNumberFormat="1" applyFont="1" applyBorder="1" applyAlignment="1">
      <alignment horizontal="justify" vertical="top" wrapText="1"/>
    </xf>
    <xf numFmtId="4" fontId="31" fillId="0" borderId="42" xfId="48" applyNumberFormat="1" applyFont="1" applyFill="1" applyBorder="1" applyAlignment="1">
      <alignment horizontal="right" vertical="center"/>
    </xf>
    <xf numFmtId="4" fontId="31" fillId="0" borderId="14" xfId="48" applyNumberFormat="1" applyFont="1" applyFill="1" applyBorder="1" applyAlignment="1">
      <alignment horizontal="right" vertical="center"/>
    </xf>
    <xf numFmtId="4" fontId="31" fillId="0" borderId="90" xfId="48" applyNumberFormat="1" applyFont="1" applyFill="1" applyBorder="1" applyAlignment="1">
      <alignment horizontal="right" vertical="center"/>
    </xf>
    <xf numFmtId="4" fontId="31" fillId="0" borderId="91" xfId="48" applyNumberFormat="1" applyFont="1" applyFill="1" applyBorder="1" applyAlignment="1">
      <alignment horizontal="right" vertical="center"/>
    </xf>
    <xf numFmtId="4" fontId="31" fillId="0" borderId="36" xfId="48" applyNumberFormat="1" applyFont="1" applyFill="1" applyBorder="1" applyAlignment="1">
      <alignment horizontal="right" vertical="center"/>
    </xf>
    <xf numFmtId="4" fontId="31" fillId="0" borderId="98" xfId="48" applyNumberFormat="1" applyFont="1" applyFill="1" applyBorder="1" applyAlignment="1">
      <alignment horizontal="center" vertical="center"/>
    </xf>
    <xf numFmtId="4" fontId="31" fillId="0" borderId="77" xfId="48" applyNumberFormat="1" applyFont="1" applyFill="1" applyBorder="1" applyAlignment="1">
      <alignment horizontal="center" vertical="center"/>
    </xf>
    <xf numFmtId="4" fontId="31" fillId="0" borderId="89" xfId="48" applyNumberFormat="1" applyFont="1" applyFill="1" applyBorder="1" applyAlignment="1">
      <alignment horizontal="center" vertical="center"/>
    </xf>
    <xf numFmtId="3" fontId="19" fillId="4" borderId="128" xfId="0" applyNumberFormat="1" applyFont="1" applyFill="1" applyBorder="1" applyAlignment="1">
      <alignment horizontal="center" vertical="center" wrapText="1"/>
    </xf>
    <xf numFmtId="3" fontId="19" fillId="4" borderId="96" xfId="0" applyNumberFormat="1" applyFont="1" applyFill="1" applyBorder="1" applyAlignment="1">
      <alignment horizontal="center" vertical="center" wrapText="1"/>
    </xf>
    <xf numFmtId="4" fontId="31" fillId="0" borderId="11" xfId="48" applyNumberFormat="1" applyFont="1" applyFill="1" applyBorder="1" applyAlignment="1">
      <alignment horizontal="justify" vertical="center" wrapText="1"/>
    </xf>
    <xf numFmtId="4" fontId="31" fillId="0" borderId="26" xfId="48" applyNumberFormat="1" applyFont="1" applyFill="1" applyBorder="1" applyAlignment="1">
      <alignment horizontal="justify" vertical="center" wrapText="1"/>
    </xf>
    <xf numFmtId="4" fontId="31" fillId="0" borderId="27" xfId="48" applyNumberFormat="1" applyFont="1" applyFill="1" applyBorder="1" applyAlignment="1">
      <alignment horizontal="justify" vertical="center" wrapText="1"/>
    </xf>
    <xf numFmtId="4" fontId="32" fillId="4" borderId="131" xfId="0" applyNumberFormat="1" applyFont="1" applyFill="1" applyBorder="1" applyAlignment="1">
      <alignment horizontal="center" vertical="center"/>
    </xf>
    <xf numFmtId="4" fontId="32" fillId="4" borderId="132" xfId="0" applyNumberFormat="1" applyFont="1" applyFill="1" applyBorder="1" applyAlignment="1">
      <alignment horizontal="center" vertical="center"/>
    </xf>
    <xf numFmtId="4" fontId="32" fillId="4" borderId="133" xfId="0" applyNumberFormat="1" applyFont="1" applyFill="1" applyBorder="1" applyAlignment="1">
      <alignment horizontal="center" vertical="center"/>
    </xf>
    <xf numFmtId="4" fontId="31" fillId="4" borderId="80" xfId="0" applyNumberFormat="1" applyFont="1" applyFill="1" applyBorder="1" applyAlignment="1">
      <alignment horizontal="center"/>
    </xf>
    <xf numFmtId="4" fontId="31" fillId="4" borderId="77" xfId="0" applyNumberFormat="1" applyFont="1" applyFill="1" applyBorder="1" applyAlignment="1">
      <alignment horizontal="center"/>
    </xf>
    <xf numFmtId="4" fontId="31" fillId="4" borderId="78" xfId="0" applyNumberFormat="1" applyFont="1" applyFill="1" applyBorder="1" applyAlignment="1">
      <alignment horizontal="center"/>
    </xf>
    <xf numFmtId="4" fontId="31" fillId="4" borderId="81" xfId="0" applyNumberFormat="1" applyFont="1" applyFill="1" applyBorder="1" applyAlignment="1">
      <alignment horizontal="center"/>
    </xf>
    <xf numFmtId="4" fontId="31" fillId="4" borderId="0" xfId="0" applyNumberFormat="1" applyFont="1" applyFill="1" applyBorder="1" applyAlignment="1">
      <alignment horizontal="center"/>
    </xf>
    <xf numFmtId="4" fontId="31" fillId="4" borderId="82" xfId="0" applyNumberFormat="1" applyFont="1" applyFill="1" applyBorder="1" applyAlignment="1">
      <alignment horizontal="center"/>
    </xf>
    <xf numFmtId="4" fontId="31" fillId="4" borderId="83" xfId="0" applyNumberFormat="1" applyFont="1" applyFill="1" applyBorder="1" applyAlignment="1">
      <alignment horizontal="center"/>
    </xf>
    <xf numFmtId="4" fontId="31" fillId="4" borderId="134" xfId="0" applyNumberFormat="1" applyFont="1" applyFill="1" applyBorder="1" applyAlignment="1">
      <alignment horizontal="center"/>
    </xf>
    <xf numFmtId="4" fontId="31" fillId="4" borderId="84" xfId="0" applyNumberFormat="1" applyFont="1" applyFill="1" applyBorder="1" applyAlignment="1">
      <alignment horizontal="center"/>
    </xf>
    <xf numFmtId="0" fontId="19" fillId="16" borderId="135" xfId="32" applyFont="1" applyFill="1" applyBorder="1" applyAlignment="1">
      <alignment horizontal="center" vertical="center"/>
    </xf>
    <xf numFmtId="0" fontId="19" fillId="16" borderId="79" xfId="32" applyFont="1" applyFill="1" applyBorder="1" applyAlignment="1">
      <alignment horizontal="center" vertical="center"/>
    </xf>
    <xf numFmtId="0" fontId="19" fillId="16" borderId="136" xfId="32" applyFont="1" applyFill="1" applyBorder="1" applyAlignment="1">
      <alignment horizontal="center" vertical="center"/>
    </xf>
    <xf numFmtId="0" fontId="20" fillId="0" borderId="137" xfId="32" applyFont="1" applyBorder="1" applyAlignment="1">
      <alignment horizontal="center" vertical="center" wrapText="1"/>
    </xf>
    <xf numFmtId="0" fontId="20" fillId="0" borderId="138" xfId="32" applyFont="1" applyBorder="1" applyAlignment="1">
      <alignment horizontal="center" vertical="center" wrapText="1"/>
    </xf>
    <xf numFmtId="0" fontId="20" fillId="0" borderId="139" xfId="32" applyFont="1" applyBorder="1" applyAlignment="1">
      <alignment horizontal="center" vertical="center" wrapText="1"/>
    </xf>
    <xf numFmtId="0" fontId="32" fillId="0" borderId="137" xfId="32" applyFont="1" applyBorder="1" applyAlignment="1">
      <alignment horizontal="center"/>
    </xf>
    <xf numFmtId="0" fontId="32" fillId="0" borderId="138" xfId="32" applyFont="1" applyBorder="1" applyAlignment="1">
      <alignment horizontal="center"/>
    </xf>
    <xf numFmtId="0" fontId="32" fillId="0" borderId="139" xfId="32" applyFont="1" applyBorder="1" applyAlignment="1">
      <alignment horizontal="center"/>
    </xf>
    <xf numFmtId="0" fontId="46" fillId="33" borderId="12" xfId="0" applyFont="1" applyFill="1" applyBorder="1" applyAlignment="1">
      <alignment horizontal="left" vertical="center"/>
    </xf>
    <xf numFmtId="0" fontId="39" fillId="0" borderId="12" xfId="38" applyBorder="1" applyAlignment="1">
      <alignment horizontal="center"/>
    </xf>
    <xf numFmtId="0" fontId="46" fillId="33" borderId="12" xfId="0" applyFont="1" applyFill="1" applyBorder="1" applyAlignment="1">
      <alignment horizontal="center"/>
    </xf>
    <xf numFmtId="0" fontId="46" fillId="34" borderId="140" xfId="0" applyFont="1" applyFill="1" applyBorder="1" applyAlignment="1">
      <alignment horizontal="center" vertical="center"/>
    </xf>
    <xf numFmtId="0" fontId="46" fillId="34" borderId="141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 wrapText="1"/>
    </xf>
    <xf numFmtId="0" fontId="36" fillId="0" borderId="47" xfId="39" applyFont="1" applyBorder="1" applyAlignment="1">
      <alignment horizontal="center" vertical="center" wrapText="1"/>
    </xf>
    <xf numFmtId="0" fontId="36" fillId="0" borderId="152" xfId="39" applyFont="1" applyBorder="1" applyAlignment="1">
      <alignment horizontal="center" vertical="center" wrapText="1"/>
    </xf>
    <xf numFmtId="0" fontId="36" fillId="0" borderId="130" xfId="39" applyFont="1" applyBorder="1" applyAlignment="1">
      <alignment horizontal="center" vertical="center" wrapText="1"/>
    </xf>
    <xf numFmtId="0" fontId="36" fillId="0" borderId="112" xfId="39" applyFont="1" applyBorder="1" applyAlignment="1">
      <alignment horizontal="center" vertical="center" wrapText="1"/>
    </xf>
    <xf numFmtId="0" fontId="36" fillId="0" borderId="32" xfId="39" applyFont="1" applyBorder="1" applyAlignment="1">
      <alignment horizontal="center" vertical="center" wrapText="1"/>
    </xf>
    <xf numFmtId="0" fontId="36" fillId="0" borderId="39" xfId="39" applyFont="1" applyBorder="1" applyAlignment="1">
      <alignment horizontal="center" vertical="center" wrapText="1"/>
    </xf>
    <xf numFmtId="0" fontId="46" fillId="33" borderId="12" xfId="0" applyFont="1" applyFill="1" applyBorder="1" applyAlignment="1"/>
    <xf numFmtId="0" fontId="46" fillId="0" borderId="140" xfId="0" applyFont="1" applyBorder="1" applyAlignment="1">
      <alignment horizontal="center"/>
    </xf>
    <xf numFmtId="0" fontId="50" fillId="0" borderId="26" xfId="0" applyFont="1" applyBorder="1" applyAlignment="1"/>
    <xf numFmtId="0" fontId="51" fillId="0" borderId="12" xfId="0" applyFont="1" applyBorder="1" applyAlignment="1">
      <alignment horizontal="left" vertical="center" wrapText="1"/>
    </xf>
    <xf numFmtId="0" fontId="46" fillId="0" borderId="16" xfId="0" applyFont="1" applyBorder="1" applyAlignment="1"/>
  </cellXfs>
  <cellStyles count="72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" xfId="53" builtinId="3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3</xdr:col>
      <xdr:colOff>1066800</xdr:colOff>
      <xdr:row>4</xdr:row>
      <xdr:rowOff>142875</xdr:rowOff>
    </xdr:to>
    <xdr:pic>
      <xdr:nvPicPr>
        <xdr:cNvPr id="325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85750"/>
          <a:ext cx="14668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1076325</xdr:colOff>
      <xdr:row>1</xdr:row>
      <xdr:rowOff>123825</xdr:rowOff>
    </xdr:from>
    <xdr:to>
      <xdr:col>8</xdr:col>
      <xdr:colOff>866</xdr:colOff>
      <xdr:row>5</xdr:row>
      <xdr:rowOff>8659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743075" y="323850"/>
          <a:ext cx="6925541" cy="55158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813955</xdr:colOff>
      <xdr:row>1</xdr:row>
      <xdr:rowOff>43295</xdr:rowOff>
    </xdr:from>
    <xdr:to>
      <xdr:col>8</xdr:col>
      <xdr:colOff>41564</xdr:colOff>
      <xdr:row>4</xdr:row>
      <xdr:rowOff>127288</xdr:rowOff>
    </xdr:to>
    <xdr:sp macro="" textlink="" fLocksText="0">
      <xdr:nvSpPr>
        <xdr:cNvPr id="2" name="Text Box 5"/>
        <xdr:cNvSpPr txBox="1">
          <a:spLocks noChangeArrowheads="1"/>
        </xdr:cNvSpPr>
      </xdr:nvSpPr>
      <xdr:spPr bwMode="auto">
        <a:xfrm>
          <a:off x="1792432" y="207818"/>
          <a:ext cx="6925541" cy="560243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  <xdr:twoCellAnchor>
    <xdr:from>
      <xdr:col>1</xdr:col>
      <xdr:colOff>47625</xdr:colOff>
      <xdr:row>1</xdr:row>
      <xdr:rowOff>47625</xdr:rowOff>
    </xdr:from>
    <xdr:to>
      <xdr:col>2</xdr:col>
      <xdr:colOff>714375</xdr:colOff>
      <xdr:row>4</xdr:row>
      <xdr:rowOff>104775</xdr:rowOff>
    </xdr:to>
    <xdr:pic>
      <xdr:nvPicPr>
        <xdr:cNvPr id="121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209550"/>
          <a:ext cx="13525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1123950</xdr:colOff>
      <xdr:row>1</xdr:row>
      <xdr:rowOff>57150</xdr:rowOff>
    </xdr:from>
    <xdr:to>
      <xdr:col>8</xdr:col>
      <xdr:colOff>381000</xdr:colOff>
      <xdr:row>5</xdr:row>
      <xdr:rowOff>95250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2343150" y="219075"/>
          <a:ext cx="5124450" cy="6858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  <xdr:twoCellAnchor>
    <xdr:from>
      <xdr:col>0</xdr:col>
      <xdr:colOff>28575</xdr:colOff>
      <xdr:row>1</xdr:row>
      <xdr:rowOff>104775</xdr:rowOff>
    </xdr:from>
    <xdr:to>
      <xdr:col>2</xdr:col>
      <xdr:colOff>1085850</xdr:colOff>
      <xdr:row>5</xdr:row>
      <xdr:rowOff>28575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104775"/>
          <a:ext cx="1971675" cy="5715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PATE\Desktop\CODEVASF%20-%20diversos\Quadra%20Poliesportiva%20-%20Ilha%20de%20Massangano\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GIULIA~1.COD\CONFIG~1\Temp\Rar$DI00.344\Barragens\1%20Barragem%20da%20&#193;gua%20Fria\Or&#231;amento%20Barragem%20da%20&#193;gua%20Fr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2:W339"/>
  <sheetViews>
    <sheetView tabSelected="1" view="pageBreakPreview" zoomScale="90" zoomScaleNormal="100" zoomScaleSheetLayoutView="90" workbookViewId="0">
      <selection activeCell="D26" sqref="D26"/>
    </sheetView>
  </sheetViews>
  <sheetFormatPr defaultColWidth="11.42578125" defaultRowHeight="15.75"/>
  <cols>
    <col min="1" max="1" width="2.5703125" style="1" customWidth="1"/>
    <col min="2" max="2" width="7.42578125" style="1" customWidth="1"/>
    <col min="3" max="3" width="12.140625" style="1" hidden="1" customWidth="1"/>
    <col min="4" max="4" width="67.28515625" style="2" customWidth="1"/>
    <col min="5" max="5" width="13.140625" style="1" customWidth="1"/>
    <col min="6" max="6" width="13.140625" style="3" customWidth="1"/>
    <col min="7" max="8" width="13.140625" style="1" customWidth="1"/>
    <col min="9" max="9" width="4.85546875" style="1" customWidth="1"/>
    <col min="10" max="10" width="14.7109375" style="184" customWidth="1"/>
    <col min="11" max="11" width="28.28515625" style="1" customWidth="1"/>
    <col min="12" max="12" width="15.28515625" style="1" customWidth="1"/>
    <col min="13" max="13" width="11.42578125" style="1"/>
    <col min="14" max="14" width="17" style="1" customWidth="1"/>
    <col min="15" max="15" width="7.85546875" style="1" customWidth="1"/>
    <col min="16" max="16" width="11" style="1" customWidth="1"/>
    <col min="17" max="18" width="11.42578125" style="1"/>
    <col min="19" max="19" width="12.7109375" style="1" customWidth="1"/>
    <col min="20" max="16384" width="11.42578125" style="1"/>
  </cols>
  <sheetData>
    <row r="2" spans="2:12" ht="12" customHeight="1">
      <c r="B2" s="607"/>
      <c r="C2" s="607"/>
      <c r="D2" s="607"/>
      <c r="E2" s="607"/>
      <c r="F2" s="607"/>
      <c r="G2" s="607"/>
      <c r="H2" s="607"/>
    </row>
    <row r="3" spans="2:12" s="4" customFormat="1" ht="12" customHeight="1">
      <c r="B3" s="607"/>
      <c r="C3" s="607"/>
      <c r="D3" s="607"/>
      <c r="E3" s="607"/>
      <c r="F3" s="607"/>
      <c r="G3" s="607"/>
      <c r="H3" s="607"/>
      <c r="J3" s="185"/>
    </row>
    <row r="4" spans="2:12" s="4" customFormat="1" ht="12.75" customHeight="1">
      <c r="B4" s="607"/>
      <c r="C4" s="607"/>
      <c r="D4" s="607"/>
      <c r="E4" s="607"/>
      <c r="F4" s="607"/>
      <c r="G4" s="607"/>
      <c r="H4" s="607"/>
      <c r="J4" s="185"/>
    </row>
    <row r="5" spans="2:12" s="4" customFormat="1" ht="15.75" customHeight="1">
      <c r="B5" s="607"/>
      <c r="C5" s="607"/>
      <c r="D5" s="607"/>
      <c r="E5" s="607"/>
      <c r="F5" s="607"/>
      <c r="G5" s="607"/>
      <c r="H5" s="607"/>
      <c r="J5" s="185"/>
    </row>
    <row r="6" spans="2:12" s="4" customFormat="1" ht="12.75" customHeight="1">
      <c r="B6" s="608" t="s">
        <v>0</v>
      </c>
      <c r="C6" s="608"/>
      <c r="D6" s="602" t="s">
        <v>698</v>
      </c>
      <c r="E6" s="602"/>
      <c r="F6" s="602"/>
      <c r="G6" s="602"/>
      <c r="H6" s="602"/>
    </row>
    <row r="7" spans="2:12" s="4" customFormat="1" ht="12.75" customHeight="1">
      <c r="B7" s="608"/>
      <c r="C7" s="608"/>
      <c r="D7" s="602"/>
      <c r="E7" s="602"/>
      <c r="F7" s="602"/>
      <c r="G7" s="602"/>
      <c r="H7" s="602"/>
      <c r="J7" s="185"/>
    </row>
    <row r="8" spans="2:12" s="4" customFormat="1" ht="12.75" customHeight="1">
      <c r="B8" s="608" t="s">
        <v>356</v>
      </c>
      <c r="C8" s="608"/>
      <c r="D8" s="609" t="s">
        <v>355</v>
      </c>
      <c r="E8" s="609"/>
      <c r="F8" s="609"/>
      <c r="G8" s="609"/>
      <c r="H8" s="609"/>
      <c r="J8" s="185"/>
    </row>
    <row r="9" spans="2:12" s="4" customFormat="1" ht="27.75" customHeight="1">
      <c r="B9" s="608"/>
      <c r="C9" s="608"/>
      <c r="D9" s="609"/>
      <c r="E9" s="609"/>
      <c r="F9" s="609"/>
      <c r="G9" s="609"/>
      <c r="H9" s="609"/>
      <c r="J9" s="185"/>
    </row>
    <row r="10" spans="2:12" s="4" customFormat="1">
      <c r="B10" s="610" t="s">
        <v>627</v>
      </c>
      <c r="C10" s="610"/>
      <c r="D10" s="610"/>
      <c r="E10" s="611" t="s">
        <v>362</v>
      </c>
      <c r="F10" s="611"/>
      <c r="G10" s="611" t="s">
        <v>361</v>
      </c>
      <c r="H10" s="611"/>
      <c r="J10" s="185"/>
    </row>
    <row r="11" spans="2:12" s="4" customFormat="1">
      <c r="B11" s="610"/>
      <c r="C11" s="610"/>
      <c r="D11" s="610"/>
      <c r="E11" s="612">
        <v>2</v>
      </c>
      <c r="F11" s="612"/>
      <c r="G11" s="612">
        <v>8</v>
      </c>
      <c r="H11" s="612"/>
      <c r="J11" s="185"/>
      <c r="K11" s="597">
        <v>41621</v>
      </c>
      <c r="L11" s="597">
        <f>K11+60</f>
        <v>41681</v>
      </c>
    </row>
    <row r="12" spans="2:12" s="4" customFormat="1">
      <c r="B12" s="610" t="s">
        <v>628</v>
      </c>
      <c r="C12" s="610"/>
      <c r="D12" s="610"/>
      <c r="E12" s="486" t="s">
        <v>629</v>
      </c>
      <c r="F12" s="486" t="s">
        <v>630</v>
      </c>
      <c r="G12" s="611" t="s">
        <v>629</v>
      </c>
      <c r="H12" s="611"/>
      <c r="J12" s="185"/>
    </row>
    <row r="13" spans="2:12" s="4" customFormat="1">
      <c r="B13" s="610"/>
      <c r="C13" s="610"/>
      <c r="D13" s="610"/>
      <c r="E13" s="292">
        <f>ROUNDUP(E11/2,0)</f>
        <v>1</v>
      </c>
      <c r="F13" s="292">
        <f>ROUNDDOWN(E11/2,0)</f>
        <v>1</v>
      </c>
      <c r="G13" s="612">
        <f>G11</f>
        <v>8</v>
      </c>
      <c r="H13" s="612"/>
      <c r="J13" s="185"/>
    </row>
    <row r="14" spans="2:12" s="4" customFormat="1" ht="15.75" customHeight="1">
      <c r="B14" s="614" t="s">
        <v>697</v>
      </c>
      <c r="C14" s="615"/>
      <c r="D14" s="616"/>
      <c r="E14" s="623" t="s">
        <v>625</v>
      </c>
      <c r="F14" s="624"/>
      <c r="G14" s="613">
        <f>H20+H26+H42</f>
        <v>852296.35</v>
      </c>
      <c r="H14" s="613"/>
      <c r="J14" s="185"/>
    </row>
    <row r="15" spans="2:12" s="4" customFormat="1" ht="18.75" customHeight="1">
      <c r="B15" s="617"/>
      <c r="C15" s="618"/>
      <c r="D15" s="619"/>
      <c r="E15" s="623" t="s">
        <v>626</v>
      </c>
      <c r="F15" s="624"/>
      <c r="G15" s="613">
        <f>+H63+H80+H94</f>
        <v>260399.34</v>
      </c>
      <c r="H15" s="613"/>
      <c r="J15" s="185"/>
    </row>
    <row r="16" spans="2:12" s="4" customFormat="1" ht="18" customHeight="1">
      <c r="B16" s="620"/>
      <c r="C16" s="621"/>
      <c r="D16" s="622"/>
      <c r="E16" s="623" t="s">
        <v>631</v>
      </c>
      <c r="F16" s="624"/>
      <c r="G16" s="613">
        <f>SUM(G14:G15)</f>
        <v>1112695.69</v>
      </c>
      <c r="H16" s="613"/>
    </row>
    <row r="17" spans="2:11" s="4" customFormat="1">
      <c r="B17" s="602" t="s">
        <v>1</v>
      </c>
      <c r="C17" s="602"/>
      <c r="D17" s="602"/>
      <c r="E17" s="602"/>
      <c r="F17" s="602"/>
      <c r="G17" s="602"/>
      <c r="H17" s="602"/>
      <c r="J17" s="592"/>
      <c r="K17" s="176"/>
    </row>
    <row r="18" spans="2:11" s="6" customFormat="1" ht="20.25" customHeight="1">
      <c r="B18" s="603" t="s">
        <v>2</v>
      </c>
      <c r="C18" s="435" t="s">
        <v>3</v>
      </c>
      <c r="D18" s="604" t="s">
        <v>4</v>
      </c>
      <c r="E18" s="604" t="s">
        <v>5</v>
      </c>
      <c r="F18" s="604" t="s">
        <v>6</v>
      </c>
      <c r="G18" s="602" t="s">
        <v>7</v>
      </c>
      <c r="H18" s="602"/>
      <c r="K18" s="5"/>
    </row>
    <row r="19" spans="2:11" s="6" customFormat="1" ht="24" customHeight="1">
      <c r="B19" s="603"/>
      <c r="C19" s="435"/>
      <c r="D19" s="604"/>
      <c r="E19" s="604"/>
      <c r="F19" s="604"/>
      <c r="G19" s="521" t="s">
        <v>8</v>
      </c>
      <c r="H19" s="292" t="s">
        <v>9</v>
      </c>
      <c r="K19" s="5"/>
    </row>
    <row r="20" spans="2:11" s="8" customFormat="1">
      <c r="B20" s="481">
        <v>1</v>
      </c>
      <c r="C20" s="482">
        <v>10101</v>
      </c>
      <c r="D20" s="599" t="s">
        <v>10</v>
      </c>
      <c r="E20" s="600"/>
      <c r="F20" s="600"/>
      <c r="G20" s="601"/>
      <c r="H20" s="483">
        <f>SUM(H21:H25)</f>
        <v>109393.68</v>
      </c>
      <c r="J20" s="186"/>
      <c r="K20" s="5"/>
    </row>
    <row r="21" spans="2:11" s="8" customFormat="1" ht="23.25" customHeight="1">
      <c r="B21" s="271" t="s">
        <v>11</v>
      </c>
      <c r="C21" s="293"/>
      <c r="D21" s="294" t="s">
        <v>12</v>
      </c>
      <c r="E21" s="273" t="s">
        <v>379</v>
      </c>
      <c r="F21" s="290">
        <v>29</v>
      </c>
      <c r="G21" s="290">
        <f>'CPU POÇOS'!I26</f>
        <v>816.42</v>
      </c>
      <c r="H21" s="290">
        <f>G21*F21</f>
        <v>23676.18</v>
      </c>
      <c r="J21" s="187"/>
      <c r="K21" s="5"/>
    </row>
    <row r="22" spans="2:11" s="8" customFormat="1" ht="23.25" customHeight="1">
      <c r="B22" s="271" t="s">
        <v>14</v>
      </c>
      <c r="C22" s="293"/>
      <c r="D22" s="294" t="s">
        <v>15</v>
      </c>
      <c r="E22" s="273" t="s">
        <v>379</v>
      </c>
      <c r="F22" s="290">
        <v>2</v>
      </c>
      <c r="G22" s="290">
        <f>'CPU POÇOS'!I58</f>
        <v>816.42</v>
      </c>
      <c r="H22" s="290">
        <f>G22*F22</f>
        <v>1632.84</v>
      </c>
      <c r="J22" s="188" t="s">
        <v>330</v>
      </c>
      <c r="K22" s="5"/>
    </row>
    <row r="23" spans="2:11" s="8" customFormat="1" ht="32.25" customHeight="1">
      <c r="B23" s="271" t="s">
        <v>16</v>
      </c>
      <c r="C23" s="293"/>
      <c r="D23" s="294" t="s">
        <v>17</v>
      </c>
      <c r="E23" s="271" t="s">
        <v>85</v>
      </c>
      <c r="F23" s="290">
        <f>2*3*12</f>
        <v>72</v>
      </c>
      <c r="G23" s="290">
        <f>'CPU POÇOS'!I92</f>
        <v>344.96</v>
      </c>
      <c r="H23" s="290">
        <f>G23*F23</f>
        <v>24837.119999999999</v>
      </c>
      <c r="J23" s="186"/>
    </row>
    <row r="24" spans="2:11" s="8" customFormat="1" ht="33.75" customHeight="1">
      <c r="B24" s="271" t="s">
        <v>18</v>
      </c>
      <c r="C24" s="293"/>
      <c r="D24" s="436" t="s">
        <v>353</v>
      </c>
      <c r="E24" s="271" t="s">
        <v>19</v>
      </c>
      <c r="F24" s="290">
        <v>6</v>
      </c>
      <c r="G24" s="290">
        <f>'Veículo Fiscalização'!D44</f>
        <v>5790.52</v>
      </c>
      <c r="H24" s="290">
        <f>G24*F24</f>
        <v>34743.120000000003</v>
      </c>
      <c r="J24" s="186"/>
      <c r="K24" s="5"/>
    </row>
    <row r="25" spans="2:11" s="9" customFormat="1" ht="20.25" customHeight="1">
      <c r="B25" s="271" t="s">
        <v>20</v>
      </c>
      <c r="C25" s="295"/>
      <c r="D25" s="296" t="s">
        <v>357</v>
      </c>
      <c r="E25" s="271" t="s">
        <v>19</v>
      </c>
      <c r="F25" s="290">
        <v>6</v>
      </c>
      <c r="G25" s="290">
        <f>'CPU POÇOS'!I127</f>
        <v>4084.07</v>
      </c>
      <c r="H25" s="290">
        <f>G25*F25</f>
        <v>24504.42</v>
      </c>
      <c r="J25" s="189"/>
      <c r="K25" s="5"/>
    </row>
    <row r="26" spans="2:11" s="9" customFormat="1">
      <c r="B26" s="297">
        <v>2</v>
      </c>
      <c r="C26" s="298"/>
      <c r="D26" s="479" t="s">
        <v>603</v>
      </c>
      <c r="E26" s="480"/>
      <c r="F26" s="480"/>
      <c r="G26" s="480"/>
      <c r="H26" s="483">
        <f>SUM(H27:H41)</f>
        <v>24799.439999999999</v>
      </c>
      <c r="J26" s="189"/>
      <c r="K26" s="5"/>
    </row>
    <row r="27" spans="2:11" s="9" customFormat="1" ht="31.5">
      <c r="B27" s="271" t="s">
        <v>21</v>
      </c>
      <c r="C27" s="299"/>
      <c r="D27" s="300" t="s">
        <v>22</v>
      </c>
      <c r="E27" s="273" t="s">
        <v>379</v>
      </c>
      <c r="F27" s="290">
        <f>E11</f>
        <v>2</v>
      </c>
      <c r="G27" s="290">
        <f>'CPU POÇOS'!I159</f>
        <v>875.72</v>
      </c>
      <c r="H27" s="290">
        <f t="shared" ref="H27:H39" si="0">G27*F27</f>
        <v>1751.44</v>
      </c>
      <c r="J27" s="189"/>
      <c r="K27" s="5"/>
    </row>
    <row r="28" spans="2:11" s="8" customFormat="1" ht="31.5">
      <c r="B28" s="271" t="s">
        <v>23</v>
      </c>
      <c r="C28" s="293"/>
      <c r="D28" s="294" t="s">
        <v>358</v>
      </c>
      <c r="E28" s="271" t="s">
        <v>85</v>
      </c>
      <c r="F28" s="290">
        <f>2*2*E11</f>
        <v>8</v>
      </c>
      <c r="G28" s="290">
        <f>'CPU POÇOS'!I190</f>
        <v>1.31</v>
      </c>
      <c r="H28" s="290">
        <f t="shared" si="0"/>
        <v>10.48</v>
      </c>
      <c r="J28" s="186" t="s">
        <v>339</v>
      </c>
      <c r="K28" s="5"/>
    </row>
    <row r="29" spans="2:11" s="9" customFormat="1">
      <c r="B29" s="271" t="s">
        <v>24</v>
      </c>
      <c r="C29" s="299"/>
      <c r="D29" s="304" t="s">
        <v>505</v>
      </c>
      <c r="E29" s="273" t="s">
        <v>379</v>
      </c>
      <c r="F29" s="290">
        <f>E11</f>
        <v>2</v>
      </c>
      <c r="G29" s="290">
        <f>'CPU POÇOS'!I224</f>
        <v>279.76</v>
      </c>
      <c r="H29" s="290">
        <f t="shared" si="0"/>
        <v>559.52</v>
      </c>
      <c r="J29" s="189"/>
      <c r="K29" s="5"/>
    </row>
    <row r="30" spans="2:11" s="9" customFormat="1">
      <c r="B30" s="271" t="s">
        <v>25</v>
      </c>
      <c r="C30" s="299"/>
      <c r="D30" s="301" t="s">
        <v>26</v>
      </c>
      <c r="E30" s="271" t="s">
        <v>27</v>
      </c>
      <c r="F30" s="290">
        <f>E11*10</f>
        <v>20</v>
      </c>
      <c r="G30" s="290">
        <f>'CPU POÇOS'!I260</f>
        <v>144.47</v>
      </c>
      <c r="H30" s="290">
        <f t="shared" si="0"/>
        <v>2889.4</v>
      </c>
      <c r="J30" s="189" t="s">
        <v>340</v>
      </c>
      <c r="K30" s="5"/>
    </row>
    <row r="31" spans="2:11" s="9" customFormat="1">
      <c r="B31" s="271" t="s">
        <v>28</v>
      </c>
      <c r="C31" s="299"/>
      <c r="D31" s="301" t="s">
        <v>29</v>
      </c>
      <c r="E31" s="271" t="s">
        <v>27</v>
      </c>
      <c r="F31" s="290">
        <f>E11*50</f>
        <v>100</v>
      </c>
      <c r="G31" s="290">
        <f>'CPU POÇOS'!I295</f>
        <v>126.03</v>
      </c>
      <c r="H31" s="290">
        <f t="shared" si="0"/>
        <v>12603</v>
      </c>
      <c r="J31" s="189" t="s">
        <v>340</v>
      </c>
    </row>
    <row r="32" spans="2:11" s="9" customFormat="1" ht="47.25">
      <c r="B32" s="271" t="s">
        <v>30</v>
      </c>
      <c r="C32" s="299"/>
      <c r="D32" s="294" t="s">
        <v>594</v>
      </c>
      <c r="E32" s="271" t="s">
        <v>27</v>
      </c>
      <c r="F32" s="290">
        <f>E11*10</f>
        <v>20</v>
      </c>
      <c r="G32" s="290">
        <f>'CPU POÇOS'!I328</f>
        <v>136.85</v>
      </c>
      <c r="H32" s="290">
        <f t="shared" si="0"/>
        <v>2737</v>
      </c>
      <c r="J32" s="189"/>
    </row>
    <row r="33" spans="2:23" s="9" customFormat="1" ht="31.5">
      <c r="B33" s="271" t="s">
        <v>540</v>
      </c>
      <c r="C33" s="295"/>
      <c r="D33" s="302" t="s">
        <v>31</v>
      </c>
      <c r="E33" s="273" t="s">
        <v>32</v>
      </c>
      <c r="F33" s="290">
        <f>(E11*10*3.1416*(0.2*0.2-0.15*0.15))</f>
        <v>1.1000000000000001</v>
      </c>
      <c r="G33" s="290">
        <f>'CPU POÇOS'!I360</f>
        <v>406.21</v>
      </c>
      <c r="H33" s="290">
        <f t="shared" si="0"/>
        <v>446.83</v>
      </c>
      <c r="J33" s="189"/>
    </row>
    <row r="34" spans="2:23" s="7" customFormat="1" ht="47.25">
      <c r="B34" s="271" t="s">
        <v>541</v>
      </c>
      <c r="C34" s="268"/>
      <c r="D34" s="272" t="s">
        <v>583</v>
      </c>
      <c r="E34" s="273" t="s">
        <v>379</v>
      </c>
      <c r="F34" s="270">
        <f>E11</f>
        <v>2</v>
      </c>
      <c r="G34" s="290">
        <f>'CPU POÇOS'!I392</f>
        <v>129.94</v>
      </c>
      <c r="H34" s="290">
        <f t="shared" si="0"/>
        <v>259.88</v>
      </c>
      <c r="J34" s="175"/>
      <c r="K34" s="174"/>
    </row>
    <row r="35" spans="2:23" s="9" customFormat="1" ht="63">
      <c r="B35" s="271" t="s">
        <v>33</v>
      </c>
      <c r="C35" s="268"/>
      <c r="D35" s="272" t="s">
        <v>584</v>
      </c>
      <c r="E35" s="273" t="s">
        <v>379</v>
      </c>
      <c r="F35" s="290">
        <f>E11</f>
        <v>2</v>
      </c>
      <c r="G35" s="290">
        <f>'CPU POÇOS'!I423</f>
        <v>245.22</v>
      </c>
      <c r="H35" s="290">
        <f t="shared" si="0"/>
        <v>490.44</v>
      </c>
      <c r="J35" s="189"/>
    </row>
    <row r="36" spans="2:23" s="9" customFormat="1" ht="31.5">
      <c r="B36" s="271" t="s">
        <v>329</v>
      </c>
      <c r="C36" s="299"/>
      <c r="D36" s="301" t="s">
        <v>401</v>
      </c>
      <c r="E36" s="273" t="s">
        <v>379</v>
      </c>
      <c r="F36" s="290">
        <f>E11</f>
        <v>2</v>
      </c>
      <c r="G36" s="290">
        <f>'CPU POÇOS'!I456</f>
        <v>86.98</v>
      </c>
      <c r="H36" s="290">
        <f t="shared" si="0"/>
        <v>173.96</v>
      </c>
      <c r="J36" s="189"/>
    </row>
    <row r="37" spans="2:23" s="9" customFormat="1" ht="31.5">
      <c r="B37" s="271" t="s">
        <v>403</v>
      </c>
      <c r="C37" s="299"/>
      <c r="D37" s="301" t="s">
        <v>585</v>
      </c>
      <c r="E37" s="273" t="s">
        <v>379</v>
      </c>
      <c r="F37" s="290">
        <f>E11</f>
        <v>2</v>
      </c>
      <c r="G37" s="290">
        <f>'CPU POÇOS'!I490</f>
        <v>92.29</v>
      </c>
      <c r="H37" s="290">
        <f t="shared" si="0"/>
        <v>184.58</v>
      </c>
      <c r="J37" s="189"/>
    </row>
    <row r="38" spans="2:23" s="9" customFormat="1" ht="31.5">
      <c r="B38" s="271" t="s">
        <v>404</v>
      </c>
      <c r="C38" s="268"/>
      <c r="D38" s="304" t="s">
        <v>593</v>
      </c>
      <c r="E38" s="273" t="s">
        <v>379</v>
      </c>
      <c r="F38" s="270">
        <f>E11</f>
        <v>2</v>
      </c>
      <c r="G38" s="270">
        <f>'CPU POÇOS'!I522</f>
        <v>333.3</v>
      </c>
      <c r="H38" s="290">
        <f t="shared" si="0"/>
        <v>666.6</v>
      </c>
      <c r="J38" s="190"/>
    </row>
    <row r="39" spans="2:23" s="7" customFormat="1" ht="31.5">
      <c r="B39" s="271" t="s">
        <v>410</v>
      </c>
      <c r="C39" s="299"/>
      <c r="D39" s="294" t="s">
        <v>586</v>
      </c>
      <c r="E39" s="273" t="s">
        <v>379</v>
      </c>
      <c r="F39" s="290">
        <f>E11</f>
        <v>2</v>
      </c>
      <c r="G39" s="290">
        <f>'CPU POÇOS'!I554</f>
        <v>149.79</v>
      </c>
      <c r="H39" s="290">
        <f t="shared" si="0"/>
        <v>299.58</v>
      </c>
      <c r="J39" s="175"/>
      <c r="K39" s="174"/>
    </row>
    <row r="40" spans="2:23" s="7" customFormat="1" ht="31.5">
      <c r="B40" s="271" t="s">
        <v>489</v>
      </c>
      <c r="C40" s="268"/>
      <c r="D40" s="304" t="s">
        <v>575</v>
      </c>
      <c r="E40" s="273" t="s">
        <v>379</v>
      </c>
      <c r="F40" s="270">
        <f>E11</f>
        <v>2</v>
      </c>
      <c r="G40" s="270">
        <f>'CPU POÇOS'!I584</f>
        <v>745.88</v>
      </c>
      <c r="H40" s="270">
        <f>F40*G40</f>
        <v>1491.76</v>
      </c>
      <c r="J40" s="175"/>
      <c r="K40" s="174"/>
    </row>
    <row r="41" spans="2:23" ht="63">
      <c r="B41" s="271" t="s">
        <v>542</v>
      </c>
      <c r="C41" s="268"/>
      <c r="D41" s="272" t="s">
        <v>504</v>
      </c>
      <c r="E41" s="271" t="s">
        <v>32</v>
      </c>
      <c r="F41" s="270">
        <f>E11*((1*1*0.15)+((3.1416/4)*(0.3062*0.3062-0.15*0.15)))</f>
        <v>0.41</v>
      </c>
      <c r="G41" s="270">
        <f>'CPU POÇOS'!I622</f>
        <v>573.1</v>
      </c>
      <c r="H41" s="270">
        <f>F41*G41</f>
        <v>234.97</v>
      </c>
      <c r="I41" s="11"/>
      <c r="J41" s="193"/>
      <c r="K41" s="120"/>
      <c r="L41" s="15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2:23" s="7" customFormat="1">
      <c r="B42" s="297">
        <v>3</v>
      </c>
      <c r="C42" s="297"/>
      <c r="D42" s="479" t="s">
        <v>567</v>
      </c>
      <c r="E42" s="480"/>
      <c r="F42" s="480"/>
      <c r="G42" s="480"/>
      <c r="H42" s="483">
        <f>SUM(H43:H62)</f>
        <v>718103.23</v>
      </c>
      <c r="J42" s="175"/>
      <c r="K42" s="174"/>
    </row>
    <row r="43" spans="2:23" s="7" customFormat="1" ht="31.5">
      <c r="B43" s="271" t="s">
        <v>34</v>
      </c>
      <c r="C43" s="268"/>
      <c r="D43" s="300" t="s">
        <v>22</v>
      </c>
      <c r="E43" s="273" t="s">
        <v>379</v>
      </c>
      <c r="F43" s="270">
        <f>G11</f>
        <v>8</v>
      </c>
      <c r="G43" s="290">
        <f>'CPU POÇOS'!I159</f>
        <v>875.72</v>
      </c>
      <c r="H43" s="270">
        <f>F43*G43</f>
        <v>7005.76</v>
      </c>
      <c r="J43" s="175"/>
      <c r="K43" s="174"/>
    </row>
    <row r="44" spans="2:23" s="7" customFormat="1" ht="31.5">
      <c r="B44" s="271" t="s">
        <v>35</v>
      </c>
      <c r="C44" s="268"/>
      <c r="D44" s="294" t="s">
        <v>358</v>
      </c>
      <c r="E44" s="273" t="s">
        <v>85</v>
      </c>
      <c r="F44" s="270">
        <f>G11*300</f>
        <v>2400</v>
      </c>
      <c r="G44" s="269">
        <f>'CPU POÇOS'!I190</f>
        <v>1.31</v>
      </c>
      <c r="H44" s="270">
        <f t="shared" ref="H44:H62" si="1">F44*G44</f>
        <v>3144</v>
      </c>
      <c r="J44" s="175"/>
      <c r="K44" s="174"/>
    </row>
    <row r="45" spans="2:23" s="7" customFormat="1">
      <c r="B45" s="271" t="s">
        <v>36</v>
      </c>
      <c r="C45" s="268"/>
      <c r="D45" s="304" t="s">
        <v>501</v>
      </c>
      <c r="E45" s="273" t="s">
        <v>379</v>
      </c>
      <c r="F45" s="270">
        <f>G11</f>
        <v>8</v>
      </c>
      <c r="G45" s="290">
        <f>'CPU POÇOS'!I656</f>
        <v>810.76</v>
      </c>
      <c r="H45" s="270">
        <f>F45*G45</f>
        <v>6486.08</v>
      </c>
      <c r="J45" s="175"/>
      <c r="K45" s="174"/>
    </row>
    <row r="46" spans="2:23" s="7" customFormat="1">
      <c r="B46" s="271" t="s">
        <v>37</v>
      </c>
      <c r="C46" s="268"/>
      <c r="D46" s="304" t="s">
        <v>363</v>
      </c>
      <c r="E46" s="271" t="s">
        <v>27</v>
      </c>
      <c r="F46" s="270">
        <f>G11*20</f>
        <v>160</v>
      </c>
      <c r="G46" s="290">
        <f>'CPU POÇOS'!I688</f>
        <v>178.87</v>
      </c>
      <c r="H46" s="270">
        <f>F46*G46</f>
        <v>28619.200000000001</v>
      </c>
      <c r="J46" s="175"/>
      <c r="K46" s="174"/>
    </row>
    <row r="47" spans="2:23" s="7" customFormat="1">
      <c r="B47" s="271" t="s">
        <v>38</v>
      </c>
      <c r="C47" s="268"/>
      <c r="D47" s="304" t="s">
        <v>364</v>
      </c>
      <c r="E47" s="271" t="s">
        <v>27</v>
      </c>
      <c r="F47" s="270">
        <f>G11*280</f>
        <v>2240</v>
      </c>
      <c r="G47" s="290">
        <f>'CPU POÇOS'!I720</f>
        <v>139.55000000000001</v>
      </c>
      <c r="H47" s="270">
        <f>F47*G47</f>
        <v>312592</v>
      </c>
      <c r="J47" s="175"/>
      <c r="K47" s="174"/>
    </row>
    <row r="48" spans="2:23" s="7" customFormat="1" ht="31.5">
      <c r="B48" s="271" t="s">
        <v>525</v>
      </c>
      <c r="C48" s="268"/>
      <c r="D48" s="304" t="s">
        <v>401</v>
      </c>
      <c r="E48" s="273" t="s">
        <v>379</v>
      </c>
      <c r="F48" s="270">
        <f>G11</f>
        <v>8</v>
      </c>
      <c r="G48" s="270">
        <f>'CPU POÇOS'!I456</f>
        <v>86.98</v>
      </c>
      <c r="H48" s="270">
        <f>F48*G48</f>
        <v>695.84</v>
      </c>
      <c r="J48" s="175"/>
      <c r="K48" s="174"/>
    </row>
    <row r="49" spans="2:23" s="7" customFormat="1" ht="31.5">
      <c r="B49" s="271" t="s">
        <v>526</v>
      </c>
      <c r="C49" s="268"/>
      <c r="D49" s="272" t="s">
        <v>402</v>
      </c>
      <c r="E49" s="273" t="s">
        <v>379</v>
      </c>
      <c r="F49" s="270">
        <f>G11</f>
        <v>8</v>
      </c>
      <c r="G49" s="270">
        <f>'CPU POÇOS'!I753</f>
        <v>74.819999999999993</v>
      </c>
      <c r="H49" s="270">
        <f t="shared" si="1"/>
        <v>598.55999999999995</v>
      </c>
      <c r="J49" s="175"/>
      <c r="K49" s="174"/>
    </row>
    <row r="50" spans="2:23" s="7" customFormat="1" ht="47.25">
      <c r="B50" s="271" t="s">
        <v>527</v>
      </c>
      <c r="C50" s="268"/>
      <c r="D50" s="304" t="s">
        <v>594</v>
      </c>
      <c r="E50" s="271" t="s">
        <v>27</v>
      </c>
      <c r="F50" s="270">
        <f>G11*150</f>
        <v>1200</v>
      </c>
      <c r="G50" s="270">
        <f>'CPU POÇOS'!I328</f>
        <v>136.85</v>
      </c>
      <c r="H50" s="270">
        <f t="shared" si="1"/>
        <v>164220</v>
      </c>
      <c r="J50" s="175"/>
      <c r="K50" s="174"/>
    </row>
    <row r="51" spans="2:23" s="7" customFormat="1" ht="47.25">
      <c r="B51" s="271" t="s">
        <v>528</v>
      </c>
      <c r="C51" s="268"/>
      <c r="D51" s="304" t="s">
        <v>595</v>
      </c>
      <c r="E51" s="271" t="s">
        <v>27</v>
      </c>
      <c r="F51" s="270">
        <f>G11*30</f>
        <v>240</v>
      </c>
      <c r="G51" s="270">
        <f>'CPU POÇOS'!I785</f>
        <v>428.94</v>
      </c>
      <c r="H51" s="270">
        <f t="shared" si="1"/>
        <v>102945.60000000001</v>
      </c>
      <c r="J51" s="175"/>
      <c r="K51" s="174"/>
    </row>
    <row r="52" spans="2:23" s="7" customFormat="1" ht="47.25">
      <c r="B52" s="271" t="s">
        <v>529</v>
      </c>
      <c r="C52" s="268"/>
      <c r="D52" s="304" t="s">
        <v>596</v>
      </c>
      <c r="E52" s="271" t="s">
        <v>32</v>
      </c>
      <c r="F52" s="270">
        <f>F50*(3.1416/4)*(0.3062*0.3062-0.15*0.15)</f>
        <v>67.16</v>
      </c>
      <c r="G52" s="270">
        <f>'CPU POÇOS'!I360</f>
        <v>406.21</v>
      </c>
      <c r="H52" s="270">
        <f>F52*G52</f>
        <v>27281.06</v>
      </c>
      <c r="J52" s="175"/>
      <c r="K52" s="174"/>
    </row>
    <row r="53" spans="2:23" s="7" customFormat="1" ht="47.25">
      <c r="B53" s="271" t="s">
        <v>530</v>
      </c>
      <c r="C53" s="268"/>
      <c r="D53" s="272" t="s">
        <v>597</v>
      </c>
      <c r="E53" s="271" t="s">
        <v>27</v>
      </c>
      <c r="F53" s="270">
        <f>G11*30</f>
        <v>240</v>
      </c>
      <c r="G53" s="270">
        <f>'CPU POÇOS'!I815</f>
        <v>133.99</v>
      </c>
      <c r="H53" s="270">
        <f t="shared" si="1"/>
        <v>32157.599999999999</v>
      </c>
      <c r="J53" s="175"/>
      <c r="K53" s="174"/>
    </row>
    <row r="54" spans="2:23" s="7" customFormat="1" ht="47.25">
      <c r="B54" s="271" t="s">
        <v>531</v>
      </c>
      <c r="C54" s="268"/>
      <c r="D54" s="304" t="s">
        <v>415</v>
      </c>
      <c r="E54" s="271" t="s">
        <v>32</v>
      </c>
      <c r="F54" s="270">
        <f>F53*(3.1416/4)*(0.3062*0.3062-0.15*0.15)</f>
        <v>13.43</v>
      </c>
      <c r="G54" s="270">
        <f>'CPU POÇOS'!I845</f>
        <v>973.7</v>
      </c>
      <c r="H54" s="270">
        <f t="shared" si="1"/>
        <v>13076.79</v>
      </c>
      <c r="J54" s="175"/>
      <c r="K54" s="174"/>
    </row>
    <row r="55" spans="2:23" s="7" customFormat="1" ht="47.25">
      <c r="B55" s="271" t="s">
        <v>532</v>
      </c>
      <c r="C55" s="268"/>
      <c r="D55" s="272" t="s">
        <v>583</v>
      </c>
      <c r="E55" s="273" t="s">
        <v>379</v>
      </c>
      <c r="F55" s="270">
        <f>G11</f>
        <v>8</v>
      </c>
      <c r="G55" s="290">
        <f>'CPU POÇOS'!I392</f>
        <v>129.94</v>
      </c>
      <c r="H55" s="270">
        <f t="shared" si="1"/>
        <v>1039.52</v>
      </c>
      <c r="J55" s="175"/>
      <c r="K55" s="174"/>
    </row>
    <row r="56" spans="2:23" s="7" customFormat="1" ht="63">
      <c r="B56" s="271" t="s">
        <v>533</v>
      </c>
      <c r="C56" s="268"/>
      <c r="D56" s="272" t="s">
        <v>598</v>
      </c>
      <c r="E56" s="273" t="s">
        <v>379</v>
      </c>
      <c r="F56" s="270">
        <f>G11</f>
        <v>8</v>
      </c>
      <c r="G56" s="270">
        <f>'CPU POÇOS'!I423</f>
        <v>245.22</v>
      </c>
      <c r="H56" s="270">
        <f>F56*G56</f>
        <v>1961.76</v>
      </c>
      <c r="J56" s="175"/>
      <c r="K56" s="174"/>
    </row>
    <row r="57" spans="2:23" s="7" customFormat="1" ht="47.25">
      <c r="B57" s="271" t="s">
        <v>534</v>
      </c>
      <c r="C57" s="268"/>
      <c r="D57" s="304" t="s">
        <v>507</v>
      </c>
      <c r="E57" s="273" t="s">
        <v>379</v>
      </c>
      <c r="F57" s="270">
        <f>G11</f>
        <v>8</v>
      </c>
      <c r="G57" s="270">
        <f>'CPU POÇOS'!I877</f>
        <v>186.64</v>
      </c>
      <c r="H57" s="270">
        <f t="shared" si="1"/>
        <v>1493.12</v>
      </c>
      <c r="J57" s="175"/>
      <c r="K57" s="174"/>
    </row>
    <row r="58" spans="2:23" s="7" customFormat="1" ht="31.5">
      <c r="B58" s="271" t="s">
        <v>535</v>
      </c>
      <c r="C58" s="268"/>
      <c r="D58" s="304" t="s">
        <v>365</v>
      </c>
      <c r="E58" s="273" t="s">
        <v>379</v>
      </c>
      <c r="F58" s="270">
        <f>G11</f>
        <v>8</v>
      </c>
      <c r="G58" s="290">
        <f>'CPU POÇOS'!I906</f>
        <v>558.62</v>
      </c>
      <c r="H58" s="270">
        <f t="shared" si="1"/>
        <v>4468.96</v>
      </c>
      <c r="J58" s="410"/>
      <c r="K58" s="410"/>
    </row>
    <row r="59" spans="2:23" s="7" customFormat="1" ht="47.25">
      <c r="B59" s="271" t="s">
        <v>536</v>
      </c>
      <c r="C59" s="268"/>
      <c r="D59" s="272" t="s">
        <v>599</v>
      </c>
      <c r="E59" s="273" t="s">
        <v>379</v>
      </c>
      <c r="F59" s="270">
        <f>G11</f>
        <v>8</v>
      </c>
      <c r="G59" s="270">
        <f>'CPU POÇOS'!I490</f>
        <v>92.29</v>
      </c>
      <c r="H59" s="270">
        <f t="shared" si="1"/>
        <v>738.32</v>
      </c>
      <c r="J59" s="410"/>
      <c r="K59" s="410"/>
    </row>
    <row r="60" spans="2:23" s="7" customFormat="1" ht="31.5">
      <c r="B60" s="271" t="s">
        <v>537</v>
      </c>
      <c r="C60" s="268"/>
      <c r="D60" s="304" t="s">
        <v>593</v>
      </c>
      <c r="E60" s="273" t="s">
        <v>379</v>
      </c>
      <c r="F60" s="270">
        <f>G11</f>
        <v>8</v>
      </c>
      <c r="G60" s="270">
        <f>'CPU POÇOS'!I522</f>
        <v>333.3</v>
      </c>
      <c r="H60" s="270">
        <f t="shared" si="1"/>
        <v>2666.4</v>
      </c>
      <c r="J60" s="175"/>
      <c r="K60" s="174"/>
    </row>
    <row r="61" spans="2:23" s="7" customFormat="1" ht="31.5">
      <c r="B61" s="271" t="s">
        <v>538</v>
      </c>
      <c r="C61" s="268"/>
      <c r="D61" s="304" t="s">
        <v>575</v>
      </c>
      <c r="E61" s="273" t="s">
        <v>379</v>
      </c>
      <c r="F61" s="270">
        <f>G11</f>
        <v>8</v>
      </c>
      <c r="G61" s="270">
        <f>'CPU POÇOS'!I584</f>
        <v>745.88</v>
      </c>
      <c r="H61" s="270">
        <f t="shared" si="1"/>
        <v>5967.04</v>
      </c>
      <c r="J61" s="175"/>
      <c r="K61" s="174"/>
    </row>
    <row r="62" spans="2:23" ht="63">
      <c r="B62" s="271" t="s">
        <v>539</v>
      </c>
      <c r="C62" s="268"/>
      <c r="D62" s="272" t="s">
        <v>504</v>
      </c>
      <c r="E62" s="271" t="s">
        <v>32</v>
      </c>
      <c r="F62" s="270">
        <f>G11*((1*1*0.15)+((3.1416/4)*(0.3062*0.3062-0.15*0.15)))</f>
        <v>1.65</v>
      </c>
      <c r="G62" s="270">
        <f>'CPU POÇOS'!I622</f>
        <v>573.1</v>
      </c>
      <c r="H62" s="270">
        <f t="shared" si="1"/>
        <v>945.62</v>
      </c>
      <c r="I62" s="11"/>
      <c r="J62" s="193"/>
      <c r="K62" s="120"/>
      <c r="L62" s="15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2:23" s="9" customFormat="1" ht="27.75" customHeight="1">
      <c r="B63" s="297">
        <v>4</v>
      </c>
      <c r="C63" s="298"/>
      <c r="D63" s="605" t="s">
        <v>563</v>
      </c>
      <c r="E63" s="606"/>
      <c r="F63" s="606"/>
      <c r="G63" s="606"/>
      <c r="H63" s="483">
        <f>SUM(H64:H79)</f>
        <v>18089.080000000002</v>
      </c>
      <c r="J63" s="189"/>
      <c r="K63" s="5"/>
    </row>
    <row r="64" spans="2:23" s="9" customFormat="1" ht="47.25">
      <c r="B64" s="271" t="s">
        <v>39</v>
      </c>
      <c r="C64" s="295"/>
      <c r="D64" s="272" t="s">
        <v>580</v>
      </c>
      <c r="E64" s="273" t="s">
        <v>27</v>
      </c>
      <c r="F64" s="290">
        <f>E13*30</f>
        <v>30</v>
      </c>
      <c r="G64" s="290">
        <f>'CPU POÇOS'!I938</f>
        <v>24.66</v>
      </c>
      <c r="H64" s="290">
        <f t="shared" ref="H64:H79" si="2">G64*F64</f>
        <v>739.8</v>
      </c>
      <c r="J64" s="189"/>
    </row>
    <row r="65" spans="2:11" s="9" customFormat="1" ht="78.75" customHeight="1">
      <c r="B65" s="271" t="s">
        <v>40</v>
      </c>
      <c r="C65" s="295"/>
      <c r="D65" s="303" t="s">
        <v>409</v>
      </c>
      <c r="E65" s="273" t="s">
        <v>379</v>
      </c>
      <c r="F65" s="290">
        <f>E13</f>
        <v>1</v>
      </c>
      <c r="G65" s="290">
        <f>'CPU POÇOS'!I988</f>
        <v>6703.04</v>
      </c>
      <c r="H65" s="290">
        <f t="shared" si="2"/>
        <v>6703.04</v>
      </c>
      <c r="J65" s="189"/>
    </row>
    <row r="66" spans="2:11" s="8" customFormat="1" ht="36.75" customHeight="1">
      <c r="B66" s="271" t="s">
        <v>42</v>
      </c>
      <c r="C66" s="293"/>
      <c r="D66" s="304" t="s">
        <v>350</v>
      </c>
      <c r="E66" s="271" t="s">
        <v>85</v>
      </c>
      <c r="F66" s="290">
        <f>(3.5*1.5+2*2+1*1)*E13</f>
        <v>10.25</v>
      </c>
      <c r="G66" s="290">
        <f>'CPU POÇOS'!I190</f>
        <v>1.31</v>
      </c>
      <c r="H66" s="290">
        <f t="shared" si="2"/>
        <v>13.43</v>
      </c>
      <c r="J66" s="186"/>
    </row>
    <row r="67" spans="2:11" s="9" customFormat="1" ht="49.5" customHeight="1">
      <c r="B67" s="271" t="s">
        <v>44</v>
      </c>
      <c r="C67" s="295"/>
      <c r="D67" s="303" t="s">
        <v>41</v>
      </c>
      <c r="E67" s="273" t="s">
        <v>32</v>
      </c>
      <c r="F67" s="290">
        <f>E13*(1.4+1.4+1.4+1.4+0.7+0.7+0.7+0.7+3+3+1.2+1.2)*0.4*0.3</f>
        <v>2.02</v>
      </c>
      <c r="G67" s="290">
        <f>'CPU POÇOS'!I1019</f>
        <v>21.14</v>
      </c>
      <c r="H67" s="290">
        <f t="shared" si="2"/>
        <v>42.7</v>
      </c>
      <c r="J67" s="189" t="s">
        <v>343</v>
      </c>
    </row>
    <row r="68" spans="2:11" s="9" customFormat="1" ht="24" customHeight="1">
      <c r="B68" s="271" t="s">
        <v>46</v>
      </c>
      <c r="C68" s="295"/>
      <c r="D68" s="303" t="s">
        <v>43</v>
      </c>
      <c r="E68" s="273" t="s">
        <v>32</v>
      </c>
      <c r="F68" s="290">
        <f>(F67-E13*((1.4+1.4+1.4+1.4+0.7+7+0.7+0.7+3+3+1.2+1.2)*0.4*0.2)+(1.4*1.4)*0.1+(0.7*0.7)*0.5+(3*1.2)*0.1)</f>
        <v>0.97</v>
      </c>
      <c r="G68" s="290">
        <f>'CPU POÇOS'!I1049</f>
        <v>19.170000000000002</v>
      </c>
      <c r="H68" s="290">
        <f t="shared" si="2"/>
        <v>18.59</v>
      </c>
      <c r="J68" s="189" t="s">
        <v>344</v>
      </c>
    </row>
    <row r="69" spans="2:11" s="9" customFormat="1" ht="51.75" customHeight="1">
      <c r="B69" s="271" t="s">
        <v>48</v>
      </c>
      <c r="C69" s="295"/>
      <c r="D69" s="305" t="s">
        <v>45</v>
      </c>
      <c r="E69" s="273" t="s">
        <v>32</v>
      </c>
      <c r="F69" s="290">
        <f>F64*0.4*0.3</f>
        <v>3.6</v>
      </c>
      <c r="G69" s="290">
        <f>'CPU POÇOS'!I1019</f>
        <v>21.14</v>
      </c>
      <c r="H69" s="290">
        <f t="shared" si="2"/>
        <v>76.099999999999994</v>
      </c>
      <c r="J69" s="189" t="s">
        <v>343</v>
      </c>
    </row>
    <row r="70" spans="2:11" s="9" customFormat="1" ht="26.25" customHeight="1">
      <c r="B70" s="271" t="s">
        <v>49</v>
      </c>
      <c r="C70" s="295"/>
      <c r="D70" s="305" t="s">
        <v>47</v>
      </c>
      <c r="E70" s="273" t="s">
        <v>32</v>
      </c>
      <c r="F70" s="290">
        <f>F69</f>
        <v>3.6</v>
      </c>
      <c r="G70" s="290">
        <f>'CPU POÇOS'!I1049</f>
        <v>19.170000000000002</v>
      </c>
      <c r="H70" s="290">
        <f t="shared" si="2"/>
        <v>69.010000000000005</v>
      </c>
      <c r="J70" s="189" t="s">
        <v>344</v>
      </c>
    </row>
    <row r="71" spans="2:11" s="9" customFormat="1" ht="34.5" customHeight="1">
      <c r="B71" s="271" t="s">
        <v>50</v>
      </c>
      <c r="C71" s="295"/>
      <c r="D71" s="303" t="s">
        <v>360</v>
      </c>
      <c r="E71" s="273" t="s">
        <v>27</v>
      </c>
      <c r="F71" s="290">
        <f>E13*20</f>
        <v>20</v>
      </c>
      <c r="G71" s="290">
        <f>'CPU POÇOS'!I1083</f>
        <v>11.38</v>
      </c>
      <c r="H71" s="290">
        <f t="shared" si="2"/>
        <v>227.6</v>
      </c>
      <c r="J71" s="189" t="s">
        <v>345</v>
      </c>
    </row>
    <row r="72" spans="2:11" s="9" customFormat="1" ht="53.25" customHeight="1">
      <c r="B72" s="271" t="s">
        <v>51</v>
      </c>
      <c r="C72" s="295"/>
      <c r="D72" s="419" t="s">
        <v>694</v>
      </c>
      <c r="E72" s="273" t="s">
        <v>379</v>
      </c>
      <c r="F72" s="290">
        <f>E13</f>
        <v>1</v>
      </c>
      <c r="G72" s="290">
        <f>'CPU POÇOS'!I1119</f>
        <v>1485.97</v>
      </c>
      <c r="H72" s="290">
        <f t="shared" si="2"/>
        <v>1485.97</v>
      </c>
      <c r="J72" s="189"/>
    </row>
    <row r="73" spans="2:11" s="9" customFormat="1" ht="51.75" customHeight="1">
      <c r="B73" s="271" t="s">
        <v>52</v>
      </c>
      <c r="C73" s="418"/>
      <c r="D73" s="419" t="s">
        <v>581</v>
      </c>
      <c r="E73" s="420" t="s">
        <v>379</v>
      </c>
      <c r="F73" s="290">
        <f>E13*(3+3+3+2.1)</f>
        <v>11.1</v>
      </c>
      <c r="G73" s="290">
        <f>'CPU POÇOS'!I1156</f>
        <v>30.4</v>
      </c>
      <c r="H73" s="290">
        <f t="shared" si="2"/>
        <v>337.44</v>
      </c>
      <c r="J73" s="189" t="s">
        <v>346</v>
      </c>
    </row>
    <row r="74" spans="2:11" s="7" customFormat="1" ht="51.75" customHeight="1">
      <c r="B74" s="271" t="s">
        <v>53</v>
      </c>
      <c r="C74" s="413"/>
      <c r="D74" s="272" t="s">
        <v>381</v>
      </c>
      <c r="E74" s="413" t="s">
        <v>379</v>
      </c>
      <c r="F74" s="333">
        <f>E13</f>
        <v>1</v>
      </c>
      <c r="G74" s="333">
        <f>'CPU POÇOS'!I1194</f>
        <v>686.03</v>
      </c>
      <c r="H74" s="290">
        <f t="shared" si="2"/>
        <v>686.03</v>
      </c>
      <c r="J74" s="175"/>
      <c r="K74" s="174"/>
    </row>
    <row r="75" spans="2:11" s="9" customFormat="1" ht="33" customHeight="1">
      <c r="B75" s="271" t="s">
        <v>54</v>
      </c>
      <c r="C75" s="418"/>
      <c r="D75" s="272" t="s">
        <v>544</v>
      </c>
      <c r="E75" s="420" t="s">
        <v>379</v>
      </c>
      <c r="F75" s="290">
        <f>E13</f>
        <v>1</v>
      </c>
      <c r="G75" s="290">
        <f>'CPU POÇOS'!I1293</f>
        <v>712.61</v>
      </c>
      <c r="H75" s="290">
        <f t="shared" si="2"/>
        <v>712.61</v>
      </c>
      <c r="J75" s="190"/>
    </row>
    <row r="76" spans="2:11" s="7" customFormat="1" ht="38.25" customHeight="1">
      <c r="B76" s="271" t="s">
        <v>496</v>
      </c>
      <c r="C76" s="417"/>
      <c r="D76" s="272" t="s">
        <v>578</v>
      </c>
      <c r="E76" s="413" t="s">
        <v>379</v>
      </c>
      <c r="F76" s="333">
        <f>E13</f>
        <v>1</v>
      </c>
      <c r="G76" s="333">
        <f>'CPU POÇOS'!I1330</f>
        <v>1307.71</v>
      </c>
      <c r="H76" s="290">
        <f t="shared" si="2"/>
        <v>1307.71</v>
      </c>
      <c r="J76" s="175"/>
      <c r="K76" s="174"/>
    </row>
    <row r="77" spans="2:11" s="9" customFormat="1" ht="51" customHeight="1">
      <c r="B77" s="271" t="s">
        <v>605</v>
      </c>
      <c r="C77" s="418"/>
      <c r="D77" s="272" t="s">
        <v>582</v>
      </c>
      <c r="E77" s="420" t="s">
        <v>379</v>
      </c>
      <c r="F77" s="290">
        <f>F65</f>
        <v>1</v>
      </c>
      <c r="G77" s="290">
        <f>'CPU POÇOS'!I1401</f>
        <v>4877.28</v>
      </c>
      <c r="H77" s="290">
        <f t="shared" si="2"/>
        <v>4877.28</v>
      </c>
      <c r="J77" s="190"/>
    </row>
    <row r="78" spans="2:11" s="423" customFormat="1" ht="51" customHeight="1">
      <c r="B78" s="271" t="s">
        <v>606</v>
      </c>
      <c r="C78" s="417"/>
      <c r="D78" s="272" t="s">
        <v>503</v>
      </c>
      <c r="E78" s="413" t="s">
        <v>379</v>
      </c>
      <c r="F78" s="333">
        <f>F77</f>
        <v>1</v>
      </c>
      <c r="G78" s="333">
        <f>'CPU POÇOS'!I1434</f>
        <v>193.8</v>
      </c>
      <c r="H78" s="290">
        <f t="shared" si="2"/>
        <v>193.8</v>
      </c>
      <c r="J78" s="424"/>
      <c r="K78" s="425"/>
    </row>
    <row r="79" spans="2:11" s="9" customFormat="1">
      <c r="B79" s="271" t="s">
        <v>607</v>
      </c>
      <c r="C79" s="418"/>
      <c r="D79" s="272" t="s">
        <v>557</v>
      </c>
      <c r="E79" s="413" t="s">
        <v>379</v>
      </c>
      <c r="F79" s="290">
        <f>F78</f>
        <v>1</v>
      </c>
      <c r="G79" s="290">
        <f>'CPU POÇOS'!I1477</f>
        <v>597.97</v>
      </c>
      <c r="H79" s="290">
        <f t="shared" si="2"/>
        <v>597.97</v>
      </c>
      <c r="J79" s="190"/>
    </row>
    <row r="80" spans="2:11" s="9" customFormat="1" ht="27.75" customHeight="1">
      <c r="B80" s="297">
        <v>5</v>
      </c>
      <c r="C80" s="298"/>
      <c r="D80" s="605" t="s">
        <v>587</v>
      </c>
      <c r="E80" s="606"/>
      <c r="F80" s="606"/>
      <c r="G80" s="606"/>
      <c r="H80" s="483">
        <f>SUM(H81:H93)</f>
        <v>16024.22</v>
      </c>
      <c r="J80" s="189"/>
      <c r="K80" s="5"/>
    </row>
    <row r="81" spans="2:11" s="9" customFormat="1" ht="47.25">
      <c r="B81" s="271" t="s">
        <v>366</v>
      </c>
      <c r="C81" s="295"/>
      <c r="D81" s="272" t="s">
        <v>580</v>
      </c>
      <c r="E81" s="273" t="s">
        <v>27</v>
      </c>
      <c r="F81" s="290">
        <f>F13*30</f>
        <v>30</v>
      </c>
      <c r="G81" s="290">
        <f>'CPU POÇOS'!I938</f>
        <v>24.66</v>
      </c>
      <c r="H81" s="290">
        <f t="shared" ref="H81:H93" si="3">G81*F81</f>
        <v>739.8</v>
      </c>
      <c r="J81" s="189"/>
    </row>
    <row r="82" spans="2:11" s="9" customFormat="1" ht="64.5" customHeight="1">
      <c r="B82" s="271" t="s">
        <v>367</v>
      </c>
      <c r="C82" s="295"/>
      <c r="D82" s="303" t="s">
        <v>588</v>
      </c>
      <c r="E82" s="273" t="s">
        <v>379</v>
      </c>
      <c r="F82" s="290">
        <f>F13</f>
        <v>1</v>
      </c>
      <c r="G82" s="290">
        <f>'CPU POÇOS'!I1545</f>
        <v>10307.23</v>
      </c>
      <c r="H82" s="290">
        <f t="shared" si="3"/>
        <v>10307.23</v>
      </c>
      <c r="J82" s="191">
        <f>J17/F82</f>
        <v>0</v>
      </c>
    </row>
    <row r="83" spans="2:11" s="8" customFormat="1" ht="36.75" customHeight="1">
      <c r="B83" s="271" t="s">
        <v>368</v>
      </c>
      <c r="C83" s="293"/>
      <c r="D83" s="304" t="s">
        <v>350</v>
      </c>
      <c r="E83" s="271" t="s">
        <v>85</v>
      </c>
      <c r="F83" s="290">
        <f>(3.5*1.5+2*2+1*1)*F13</f>
        <v>10.25</v>
      </c>
      <c r="G83" s="290">
        <f>'CPU POÇOS'!I190</f>
        <v>1.31</v>
      </c>
      <c r="H83" s="290">
        <f t="shared" si="3"/>
        <v>13.43</v>
      </c>
      <c r="J83" s="186"/>
    </row>
    <row r="84" spans="2:11" s="9" customFormat="1" ht="49.5" customHeight="1">
      <c r="B84" s="271" t="s">
        <v>369</v>
      </c>
      <c r="C84" s="295"/>
      <c r="D84" s="303" t="s">
        <v>41</v>
      </c>
      <c r="E84" s="273" t="s">
        <v>32</v>
      </c>
      <c r="F84" s="290">
        <f>F13*(1.4+1.4+1.4+1.4+0.7+0.7+0.7+0.7+3+3+1.2+1.2)*0.4*0.3</f>
        <v>2.02</v>
      </c>
      <c r="G84" s="290">
        <f>'CPU POÇOS'!I1019</f>
        <v>21.14</v>
      </c>
      <c r="H84" s="290">
        <f t="shared" si="3"/>
        <v>42.7</v>
      </c>
      <c r="J84" s="189" t="s">
        <v>343</v>
      </c>
    </row>
    <row r="85" spans="2:11" s="9" customFormat="1" ht="24" customHeight="1">
      <c r="B85" s="271" t="s">
        <v>370</v>
      </c>
      <c r="C85" s="295"/>
      <c r="D85" s="303" t="s">
        <v>43</v>
      </c>
      <c r="E85" s="273" t="s">
        <v>32</v>
      </c>
      <c r="F85" s="290">
        <f>(F67-F13*((1.4+1.4+1.4+1.4+0.7+7+0.7+0.7+3+3+1.2+1.2)*0.4*0.2)+(1.4*1.4)*0.1+(0.7*0.7)*0.5+(3*1.2)*0.1)</f>
        <v>0.97</v>
      </c>
      <c r="G85" s="290">
        <f>'CPU POÇOS'!I1049</f>
        <v>19.170000000000002</v>
      </c>
      <c r="H85" s="290">
        <f t="shared" si="3"/>
        <v>18.59</v>
      </c>
      <c r="J85" s="189" t="s">
        <v>344</v>
      </c>
    </row>
    <row r="86" spans="2:11" s="9" customFormat="1" ht="51.75" customHeight="1">
      <c r="B86" s="271" t="s">
        <v>371</v>
      </c>
      <c r="C86" s="295"/>
      <c r="D86" s="305" t="s">
        <v>45</v>
      </c>
      <c r="E86" s="273" t="s">
        <v>32</v>
      </c>
      <c r="F86" s="290">
        <f>F81*0.4*0.3</f>
        <v>3.6</v>
      </c>
      <c r="G86" s="290">
        <f>'CPU POÇOS'!I1019</f>
        <v>21.14</v>
      </c>
      <c r="H86" s="290">
        <f t="shared" si="3"/>
        <v>76.099999999999994</v>
      </c>
      <c r="J86" s="189" t="s">
        <v>343</v>
      </c>
    </row>
    <row r="87" spans="2:11" s="9" customFormat="1" ht="26.25" customHeight="1">
      <c r="B87" s="271" t="s">
        <v>372</v>
      </c>
      <c r="C87" s="295"/>
      <c r="D87" s="305" t="s">
        <v>47</v>
      </c>
      <c r="E87" s="273" t="s">
        <v>32</v>
      </c>
      <c r="F87" s="290">
        <f>F86</f>
        <v>3.6</v>
      </c>
      <c r="G87" s="290">
        <f>'CPU POÇOS'!I1049</f>
        <v>19.170000000000002</v>
      </c>
      <c r="H87" s="290">
        <f t="shared" si="3"/>
        <v>69.010000000000005</v>
      </c>
      <c r="J87" s="189" t="s">
        <v>344</v>
      </c>
    </row>
    <row r="88" spans="2:11" s="9" customFormat="1" ht="34.5" customHeight="1">
      <c r="B88" s="271" t="s">
        <v>373</v>
      </c>
      <c r="C88" s="295"/>
      <c r="D88" s="303" t="s">
        <v>360</v>
      </c>
      <c r="E88" s="273" t="s">
        <v>27</v>
      </c>
      <c r="F88" s="290">
        <f>F13*20</f>
        <v>20</v>
      </c>
      <c r="G88" s="290">
        <f>'CPU POÇOS'!I1083</f>
        <v>11.38</v>
      </c>
      <c r="H88" s="290">
        <f t="shared" si="3"/>
        <v>227.6</v>
      </c>
      <c r="J88" s="189" t="s">
        <v>345</v>
      </c>
    </row>
    <row r="89" spans="2:11" s="9" customFormat="1" ht="53.25" customHeight="1">
      <c r="B89" s="271" t="s">
        <v>374</v>
      </c>
      <c r="C89" s="295"/>
      <c r="D89" s="419" t="s">
        <v>695</v>
      </c>
      <c r="E89" s="273" t="s">
        <v>379</v>
      </c>
      <c r="F89" s="290">
        <f>F13</f>
        <v>1</v>
      </c>
      <c r="G89" s="290">
        <f>'CPU POÇOS'!I1119</f>
        <v>1485.97</v>
      </c>
      <c r="H89" s="290">
        <f t="shared" si="3"/>
        <v>1485.97</v>
      </c>
      <c r="J89" s="189"/>
    </row>
    <row r="90" spans="2:11" s="9" customFormat="1" ht="51.75" customHeight="1">
      <c r="B90" s="271" t="s">
        <v>375</v>
      </c>
      <c r="C90" s="418"/>
      <c r="D90" s="419" t="s">
        <v>581</v>
      </c>
      <c r="E90" s="420" t="s">
        <v>379</v>
      </c>
      <c r="F90" s="290">
        <f>F13*(3+3+3+2.1)</f>
        <v>11.1</v>
      </c>
      <c r="G90" s="290">
        <f>'CPU POÇOS'!I1156</f>
        <v>30.4</v>
      </c>
      <c r="H90" s="290">
        <f t="shared" si="3"/>
        <v>337.44</v>
      </c>
      <c r="J90" s="189" t="s">
        <v>346</v>
      </c>
    </row>
    <row r="91" spans="2:11" s="7" customFormat="1" ht="51.75" customHeight="1">
      <c r="B91" s="271" t="s">
        <v>376</v>
      </c>
      <c r="C91" s="413"/>
      <c r="D91" s="272" t="s">
        <v>381</v>
      </c>
      <c r="E91" s="413" t="s">
        <v>379</v>
      </c>
      <c r="F91" s="333">
        <f>F13</f>
        <v>1</v>
      </c>
      <c r="G91" s="333">
        <f>'CPU POÇOS'!I1194</f>
        <v>686.03</v>
      </c>
      <c r="H91" s="290">
        <f t="shared" si="3"/>
        <v>686.03</v>
      </c>
      <c r="J91" s="175"/>
      <c r="K91" s="174"/>
    </row>
    <row r="92" spans="2:11" s="9" customFormat="1" ht="33" customHeight="1">
      <c r="B92" s="271" t="s">
        <v>377</v>
      </c>
      <c r="C92" s="418"/>
      <c r="D92" s="272" t="s">
        <v>544</v>
      </c>
      <c r="E92" s="420" t="s">
        <v>379</v>
      </c>
      <c r="F92" s="290">
        <f>F13</f>
        <v>1</v>
      </c>
      <c r="G92" s="290">
        <f>'CPU POÇOS'!I1293</f>
        <v>712.61</v>
      </c>
      <c r="H92" s="290">
        <f t="shared" si="3"/>
        <v>712.61</v>
      </c>
      <c r="J92" s="190"/>
    </row>
    <row r="93" spans="2:11" s="7" customFormat="1" ht="38.25" customHeight="1">
      <c r="B93" s="271" t="s">
        <v>378</v>
      </c>
      <c r="C93" s="417"/>
      <c r="D93" s="272" t="s">
        <v>589</v>
      </c>
      <c r="E93" s="413" t="s">
        <v>379</v>
      </c>
      <c r="F93" s="333">
        <f>F13</f>
        <v>1</v>
      </c>
      <c r="G93" s="333">
        <f>'CPU POÇOS'!I1330</f>
        <v>1307.71</v>
      </c>
      <c r="H93" s="290">
        <f t="shared" si="3"/>
        <v>1307.71</v>
      </c>
      <c r="J93" s="175"/>
      <c r="K93" s="174"/>
    </row>
    <row r="94" spans="2:11" s="7" customFormat="1" ht="33" customHeight="1">
      <c r="B94" s="297">
        <v>6</v>
      </c>
      <c r="C94" s="297"/>
      <c r="D94" s="605" t="s">
        <v>543</v>
      </c>
      <c r="E94" s="606"/>
      <c r="F94" s="606"/>
      <c r="G94" s="606"/>
      <c r="H94" s="483">
        <f>SUM(H95:H111)</f>
        <v>226286.04</v>
      </c>
      <c r="J94" s="175"/>
      <c r="K94" s="174"/>
    </row>
    <row r="95" spans="2:11" s="7" customFormat="1" ht="65.25" customHeight="1">
      <c r="B95" s="271" t="s">
        <v>608</v>
      </c>
      <c r="C95" s="271"/>
      <c r="D95" s="272" t="s">
        <v>508</v>
      </c>
      <c r="E95" s="273" t="s">
        <v>379</v>
      </c>
      <c r="F95" s="270">
        <f>G13</f>
        <v>8</v>
      </c>
      <c r="G95" s="314">
        <f>'CPU POÇOS'!I1587</f>
        <v>5360.06</v>
      </c>
      <c r="H95" s="270">
        <f t="shared" ref="H95:H111" si="4">F95*G95</f>
        <v>42880.480000000003</v>
      </c>
      <c r="J95" s="175"/>
      <c r="K95" s="174"/>
    </row>
    <row r="96" spans="2:11" s="7" customFormat="1" ht="47.25">
      <c r="B96" s="271" t="s">
        <v>609</v>
      </c>
      <c r="C96" s="271"/>
      <c r="D96" s="272" t="s">
        <v>580</v>
      </c>
      <c r="E96" s="273" t="s">
        <v>27</v>
      </c>
      <c r="F96" s="270">
        <f>G13*150</f>
        <v>1200</v>
      </c>
      <c r="G96" s="314">
        <f>'CPU POÇOS'!I938</f>
        <v>24.66</v>
      </c>
      <c r="H96" s="270">
        <f t="shared" si="4"/>
        <v>29592</v>
      </c>
      <c r="J96" s="175"/>
      <c r="K96" s="174"/>
    </row>
    <row r="97" spans="2:23" s="7" customFormat="1" ht="148.5" customHeight="1">
      <c r="B97" s="271" t="s">
        <v>610</v>
      </c>
      <c r="C97" s="271"/>
      <c r="D97" s="272" t="s">
        <v>590</v>
      </c>
      <c r="E97" s="271" t="s">
        <v>379</v>
      </c>
      <c r="F97" s="270">
        <f>G13</f>
        <v>8</v>
      </c>
      <c r="G97" s="314">
        <f>'CPU POÇOS'!I1635</f>
        <v>8746.9699999999993</v>
      </c>
      <c r="H97" s="270">
        <f t="shared" si="4"/>
        <v>69975.759999999995</v>
      </c>
      <c r="J97" s="175"/>
      <c r="K97" s="174"/>
    </row>
    <row r="98" spans="2:23" s="7" customFormat="1" ht="31.5" customHeight="1">
      <c r="B98" s="271" t="s">
        <v>611</v>
      </c>
      <c r="C98" s="268"/>
      <c r="D98" s="304" t="s">
        <v>476</v>
      </c>
      <c r="E98" s="271" t="s">
        <v>27</v>
      </c>
      <c r="F98" s="270">
        <f>200*G13</f>
        <v>1600</v>
      </c>
      <c r="G98" s="270">
        <f>'CPU POÇOS'!I1667</f>
        <v>1.41</v>
      </c>
      <c r="H98" s="270">
        <f t="shared" si="4"/>
        <v>2256</v>
      </c>
      <c r="J98" s="175"/>
      <c r="K98" s="174"/>
    </row>
    <row r="99" spans="2:23" s="7" customFormat="1" ht="47.25">
      <c r="B99" s="271" t="s">
        <v>612</v>
      </c>
      <c r="C99" s="271"/>
      <c r="D99" s="272" t="s">
        <v>591</v>
      </c>
      <c r="E99" s="271" t="s">
        <v>27</v>
      </c>
      <c r="F99" s="270">
        <f>200*G13</f>
        <v>1600</v>
      </c>
      <c r="G99" s="314">
        <f>'CPU POÇOS'!I1083</f>
        <v>11.38</v>
      </c>
      <c r="H99" s="270">
        <f t="shared" si="4"/>
        <v>18208</v>
      </c>
      <c r="J99" s="175"/>
      <c r="K99" s="174"/>
    </row>
    <row r="100" spans="2:23" s="7" customFormat="1" ht="62.25" customHeight="1">
      <c r="B100" s="271" t="s">
        <v>613</v>
      </c>
      <c r="C100" s="271"/>
      <c r="D100" s="272" t="s">
        <v>592</v>
      </c>
      <c r="E100" s="271" t="s">
        <v>32</v>
      </c>
      <c r="F100" s="270">
        <f>(0.5*0.3)*F99</f>
        <v>240</v>
      </c>
      <c r="G100" s="314">
        <f>'CPU POÇOS'!I1019</f>
        <v>21.14</v>
      </c>
      <c r="H100" s="270">
        <f t="shared" si="4"/>
        <v>5073.6000000000004</v>
      </c>
      <c r="J100" s="175"/>
      <c r="K100" s="174"/>
    </row>
    <row r="101" spans="2:23" s="7" customFormat="1" ht="31.5">
      <c r="B101" s="271" t="s">
        <v>614</v>
      </c>
      <c r="C101" s="271"/>
      <c r="D101" s="272" t="s">
        <v>380</v>
      </c>
      <c r="E101" s="271" t="s">
        <v>32</v>
      </c>
      <c r="F101" s="269">
        <f>F100</f>
        <v>240</v>
      </c>
      <c r="G101" s="269">
        <f>'CPU POÇOS'!I1049</f>
        <v>19.170000000000002</v>
      </c>
      <c r="H101" s="270">
        <f t="shared" si="4"/>
        <v>4600.8</v>
      </c>
      <c r="J101" s="175"/>
      <c r="K101" s="174"/>
    </row>
    <row r="102" spans="2:23" s="7" customFormat="1" ht="51" customHeight="1">
      <c r="B102" s="271" t="s">
        <v>615</v>
      </c>
      <c r="C102" s="271"/>
      <c r="D102" s="590" t="s">
        <v>695</v>
      </c>
      <c r="E102" s="271" t="s">
        <v>379</v>
      </c>
      <c r="F102" s="269">
        <f>G13</f>
        <v>8</v>
      </c>
      <c r="G102" s="269">
        <f>'CPU POÇOS'!I1119</f>
        <v>1485.97</v>
      </c>
      <c r="H102" s="270">
        <f t="shared" si="4"/>
        <v>11887.76</v>
      </c>
      <c r="J102" s="175"/>
      <c r="K102" s="174"/>
    </row>
    <row r="103" spans="2:23" s="7" customFormat="1" ht="51" customHeight="1">
      <c r="B103" s="271" t="s">
        <v>616</v>
      </c>
      <c r="C103" s="271"/>
      <c r="D103" s="272" t="s">
        <v>581</v>
      </c>
      <c r="E103" s="271" t="s">
        <v>27</v>
      </c>
      <c r="F103" s="269">
        <f>G13*(10+10+10+10)</f>
        <v>320</v>
      </c>
      <c r="G103" s="269">
        <f>'CPU POÇOS'!I1156</f>
        <v>30.4</v>
      </c>
      <c r="H103" s="270">
        <f t="shared" si="4"/>
        <v>9728</v>
      </c>
      <c r="J103" s="175"/>
      <c r="K103" s="174"/>
    </row>
    <row r="104" spans="2:23" s="7" customFormat="1" ht="61.5" customHeight="1">
      <c r="B104" s="271" t="s">
        <v>617</v>
      </c>
      <c r="C104" s="413"/>
      <c r="D104" s="272" t="s">
        <v>381</v>
      </c>
      <c r="E104" s="413" t="s">
        <v>379</v>
      </c>
      <c r="F104" s="333">
        <f>G13</f>
        <v>8</v>
      </c>
      <c r="G104" s="333">
        <f>'CPU POÇOS'!I1194</f>
        <v>686.03</v>
      </c>
      <c r="H104" s="290">
        <f t="shared" si="4"/>
        <v>5488.24</v>
      </c>
      <c r="J104" s="175"/>
      <c r="K104" s="174"/>
    </row>
    <row r="105" spans="2:23" s="7" customFormat="1" ht="49.5" customHeight="1">
      <c r="B105" s="271" t="s">
        <v>618</v>
      </c>
      <c r="C105" s="271"/>
      <c r="D105" s="272" t="s">
        <v>577</v>
      </c>
      <c r="E105" s="271" t="s">
        <v>32</v>
      </c>
      <c r="F105" s="269">
        <f>G13*0.4*0.3*((1.4+1.4+1.4+1.4+0.7+0.7+0.7+0.7+3+3+1.2+1.2))</f>
        <v>16.13</v>
      </c>
      <c r="G105" s="314">
        <f>'CPU POÇOS'!I1019</f>
        <v>21.14</v>
      </c>
      <c r="H105" s="270">
        <f t="shared" si="4"/>
        <v>340.99</v>
      </c>
      <c r="J105" s="175"/>
      <c r="K105" s="174"/>
    </row>
    <row r="106" spans="2:23" s="7" customFormat="1" ht="31.5">
      <c r="B106" s="271" t="s">
        <v>619</v>
      </c>
      <c r="C106" s="271"/>
      <c r="D106" s="272" t="s">
        <v>382</v>
      </c>
      <c r="E106" s="271" t="s">
        <v>32</v>
      </c>
      <c r="F106" s="269">
        <f>G13*0.4*0.3*(1.4+1.4+1.4+1.4+0.7+0.7+0.7+0.7+3+3+1.2+1.2)-(0*0.2*0.4*(1.4+1.4+1.4+1.4+0.7+0.7+0.7+0.7+3+3+1.2+1.2))</f>
        <v>16.13</v>
      </c>
      <c r="G106" s="269">
        <f>'CPU POÇOS'!I1049</f>
        <v>19.170000000000002</v>
      </c>
      <c r="H106" s="270">
        <f t="shared" si="4"/>
        <v>309.20999999999998</v>
      </c>
      <c r="J106" s="175"/>
      <c r="K106" s="174"/>
    </row>
    <row r="107" spans="2:23" s="7" customFormat="1" ht="31.5">
      <c r="B107" s="271" t="s">
        <v>620</v>
      </c>
      <c r="C107" s="271"/>
      <c r="D107" s="272" t="s">
        <v>544</v>
      </c>
      <c r="E107" s="271" t="s">
        <v>379</v>
      </c>
      <c r="F107" s="269">
        <f>G13</f>
        <v>8</v>
      </c>
      <c r="G107" s="269">
        <f>'CPU POÇOS'!I1293</f>
        <v>712.61</v>
      </c>
      <c r="H107" s="270">
        <f t="shared" si="4"/>
        <v>5700.88</v>
      </c>
      <c r="J107" s="175"/>
      <c r="K107" s="174"/>
    </row>
    <row r="108" spans="2:23" s="7" customFormat="1" ht="38.25" customHeight="1">
      <c r="B108" s="271" t="s">
        <v>621</v>
      </c>
      <c r="C108" s="413"/>
      <c r="D108" s="272" t="s">
        <v>578</v>
      </c>
      <c r="E108" s="413" t="s">
        <v>379</v>
      </c>
      <c r="F108" s="333">
        <f>G13</f>
        <v>8</v>
      </c>
      <c r="G108" s="333">
        <f>'CPU POÇOS'!I1330</f>
        <v>1307.71</v>
      </c>
      <c r="H108" s="290">
        <f t="shared" si="4"/>
        <v>10461.68</v>
      </c>
      <c r="J108" s="175"/>
      <c r="K108" s="174"/>
    </row>
    <row r="109" spans="2:23" s="7" customFormat="1" ht="31.5">
      <c r="B109" s="271" t="s">
        <v>622</v>
      </c>
      <c r="C109" s="271"/>
      <c r="D109" s="272" t="s">
        <v>551</v>
      </c>
      <c r="E109" s="271" t="s">
        <v>379</v>
      </c>
      <c r="F109" s="269">
        <f>G13</f>
        <v>8</v>
      </c>
      <c r="G109" s="269">
        <f>'CPU POÇOS'!I1477</f>
        <v>597.97</v>
      </c>
      <c r="H109" s="270">
        <f t="shared" si="4"/>
        <v>4783.76</v>
      </c>
      <c r="J109" s="175"/>
      <c r="K109" s="174"/>
    </row>
    <row r="110" spans="2:23" s="423" customFormat="1" ht="54.75" customHeight="1">
      <c r="B110" s="271" t="s">
        <v>623</v>
      </c>
      <c r="C110" s="413"/>
      <c r="D110" s="272" t="s">
        <v>503</v>
      </c>
      <c r="E110" s="413" t="s">
        <v>379</v>
      </c>
      <c r="F110" s="333">
        <f>G13</f>
        <v>8</v>
      </c>
      <c r="G110" s="333">
        <f>'CPU POÇOS'!I1434</f>
        <v>193.8</v>
      </c>
      <c r="H110" s="290">
        <f t="shared" si="4"/>
        <v>1550.4</v>
      </c>
      <c r="J110" s="424"/>
      <c r="K110" s="425"/>
    </row>
    <row r="111" spans="2:23" s="7" customFormat="1" ht="54" customHeight="1">
      <c r="B111" s="271" t="s">
        <v>624</v>
      </c>
      <c r="C111" s="271"/>
      <c r="D111" s="272" t="s">
        <v>579</v>
      </c>
      <c r="E111" s="271" t="s">
        <v>379</v>
      </c>
      <c r="F111" s="269">
        <f>G13</f>
        <v>8</v>
      </c>
      <c r="G111" s="333">
        <f>'CPU POÇOS'!I1700</f>
        <v>431.06</v>
      </c>
      <c r="H111" s="270">
        <f t="shared" si="4"/>
        <v>3448.48</v>
      </c>
      <c r="J111" s="175"/>
      <c r="K111" s="174"/>
    </row>
    <row r="112" spans="2:23" ht="12.75" customHeight="1">
      <c r="I112" s="11"/>
      <c r="J112" s="193"/>
      <c r="K112" s="14"/>
      <c r="L112" s="16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8:23" ht="15.75" customHeight="1">
      <c r="I113" s="11"/>
      <c r="J113" s="194"/>
      <c r="K113" s="120"/>
      <c r="L113" s="15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8:23" ht="15" customHeight="1">
      <c r="I114" s="11"/>
      <c r="J114" s="194"/>
      <c r="K114" s="19"/>
      <c r="L114" s="15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8:23" ht="19.5" customHeight="1">
      <c r="H115" s="18"/>
      <c r="I115" s="11"/>
      <c r="J115" s="194"/>
      <c r="K115" s="19"/>
      <c r="L115" s="20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8:23" ht="12.75" customHeight="1">
      <c r="I116" s="11"/>
      <c r="J116" s="189"/>
      <c r="K116" s="17"/>
      <c r="L116" s="21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8:23" ht="12.75" customHeight="1">
      <c r="I117" s="11"/>
      <c r="J117" s="195"/>
      <c r="K117" s="22"/>
      <c r="L117" s="23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8:23" ht="12.75" customHeight="1">
      <c r="I118" s="11"/>
      <c r="J118" s="196"/>
      <c r="K118" s="17"/>
      <c r="L118" s="25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8:23" ht="12.75" customHeight="1">
      <c r="I119" s="11"/>
      <c r="J119" s="189"/>
      <c r="K119" s="19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8:23" ht="12.75" customHeight="1">
      <c r="I120" s="11"/>
      <c r="J120" s="196"/>
      <c r="K120" s="22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8:23" ht="12.75" customHeight="1">
      <c r="I121" s="11"/>
      <c r="J121" s="193"/>
      <c r="K121" s="19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8:23" ht="12.75" customHeight="1">
      <c r="I122" s="11"/>
      <c r="J122" s="196"/>
      <c r="K122" s="19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8:23" ht="12.75" customHeight="1">
      <c r="I123" s="11"/>
      <c r="J123" s="196"/>
      <c r="K123" s="17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8:23" ht="12.75" customHeight="1">
      <c r="I124" s="11"/>
      <c r="J124" s="189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8:23" ht="12.75" customHeight="1">
      <c r="I125" s="11"/>
      <c r="J125" s="189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8:23" ht="12.75" customHeight="1">
      <c r="I126" s="11"/>
      <c r="J126" s="189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8:23" ht="12.75" customHeight="1">
      <c r="I127" s="11"/>
      <c r="J127" s="196"/>
      <c r="K127" s="26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8:23" ht="12.75" customHeight="1">
      <c r="I128" s="11"/>
      <c r="J128" s="189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9:23" ht="12.75" customHeight="1">
      <c r="I129" s="11"/>
      <c r="J129" s="189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9:23" ht="12.75" customHeight="1">
      <c r="I130" s="11"/>
      <c r="J130" s="189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9:23" ht="12.75" customHeight="1">
      <c r="I131" s="11"/>
      <c r="J131" s="189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9:23" ht="12.75" customHeight="1">
      <c r="I132" s="14"/>
      <c r="J132" s="189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9:23" ht="12.75" customHeight="1">
      <c r="I133" s="14"/>
      <c r="J133" s="189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9:23" ht="12.75" customHeight="1">
      <c r="I134" s="14"/>
      <c r="J134" s="189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9:23" ht="12.75" customHeight="1">
      <c r="I135" s="598"/>
      <c r="J135" s="598"/>
      <c r="K135" s="598"/>
      <c r="L135" s="598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9:23" ht="12.75" customHeight="1">
      <c r="I136" s="14"/>
      <c r="J136" s="189"/>
      <c r="K136" s="14"/>
      <c r="L136" s="15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9:23" ht="12.75" customHeight="1">
      <c r="I137" s="10"/>
      <c r="J137" s="189"/>
      <c r="K137" s="14"/>
      <c r="L137" s="15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9:23" ht="12.75" customHeight="1">
      <c r="I138" s="11"/>
      <c r="J138" s="197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9:23" ht="12.75" customHeight="1">
      <c r="I139" s="11"/>
      <c r="J139" s="189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9:23" ht="12.75" customHeight="1">
      <c r="I140" s="11"/>
      <c r="J140" s="193"/>
      <c r="K140" s="14"/>
      <c r="L140" s="15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9:23" ht="12.75" customHeight="1">
      <c r="I141" s="11"/>
      <c r="J141" s="193"/>
      <c r="K141" s="14"/>
      <c r="L141" s="15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9:23" ht="12.75" customHeight="1">
      <c r="I142" s="11"/>
      <c r="J142" s="193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9:23" ht="12.75" customHeight="1">
      <c r="I143" s="11"/>
      <c r="J143" s="193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9:23" ht="12.75" customHeight="1">
      <c r="I144" s="11"/>
      <c r="J144" s="193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9:23" ht="12.75" customHeight="1">
      <c r="I145" s="11"/>
      <c r="J145" s="193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9:23" ht="12.75" customHeight="1">
      <c r="I146" s="11"/>
      <c r="J146" s="189"/>
      <c r="K146" s="14"/>
      <c r="L146" s="15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9:23" ht="12.75" customHeight="1">
      <c r="I147" s="11"/>
      <c r="J147" s="198"/>
      <c r="K147" s="14"/>
      <c r="L147" s="15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9:23" ht="12.75" customHeight="1">
      <c r="I148" s="11"/>
      <c r="J148" s="189"/>
      <c r="K148" s="14"/>
      <c r="L148" s="27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9:23" ht="12.75" customHeight="1">
      <c r="I149" s="11"/>
      <c r="J149" s="193"/>
      <c r="K149" s="14"/>
      <c r="L149" s="15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9:23" ht="12.75" customHeight="1">
      <c r="I150" s="11"/>
      <c r="J150" s="193"/>
      <c r="K150" s="14"/>
      <c r="L150" s="15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9:23" ht="12.75" customHeight="1">
      <c r="I151" s="11"/>
      <c r="J151" s="198"/>
      <c r="K151" s="14"/>
      <c r="L151" s="15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9:23" ht="12.75" customHeight="1">
      <c r="I152" s="11"/>
      <c r="J152" s="193"/>
      <c r="K152" s="14"/>
      <c r="L152" s="28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9:23" ht="12.75" customHeight="1">
      <c r="I153" s="11"/>
      <c r="J153" s="193"/>
      <c r="K153" s="14"/>
      <c r="L153" s="28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9:23" ht="12.75" customHeight="1">
      <c r="I154" s="11"/>
      <c r="J154" s="193"/>
      <c r="K154" s="24"/>
      <c r="L154" s="28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9:23" ht="12.75" customHeight="1">
      <c r="I155" s="11"/>
      <c r="J155" s="198"/>
      <c r="K155" s="24"/>
      <c r="L155" s="28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9:23" ht="12.75" customHeight="1">
      <c r="I156" s="11"/>
      <c r="J156" s="189"/>
      <c r="K156" s="24"/>
      <c r="L156" s="28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9:23" ht="12.75" customHeight="1">
      <c r="I157" s="11"/>
      <c r="J157" s="189"/>
      <c r="K157" s="24"/>
      <c r="L157" s="28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9:23" ht="12.75" customHeight="1">
      <c r="I158" s="11"/>
      <c r="J158" s="198"/>
      <c r="K158" s="24"/>
      <c r="L158" s="28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9:23" ht="12.75" customHeight="1">
      <c r="I159" s="11"/>
      <c r="J159" s="198"/>
      <c r="K159" s="24"/>
      <c r="L159" s="28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9:23" ht="12.75" customHeight="1">
      <c r="I160" s="11"/>
      <c r="J160" s="189"/>
      <c r="K160" s="24"/>
      <c r="L160" s="28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9:23" ht="12.75" customHeight="1">
      <c r="I161" s="11"/>
      <c r="J161" s="189"/>
      <c r="K161" s="24"/>
      <c r="L161" s="28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9:23" ht="12.75" customHeight="1">
      <c r="I162" s="11"/>
      <c r="J162" s="198"/>
      <c r="K162" s="24"/>
      <c r="L162" s="28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9:23" ht="12.75" customHeight="1">
      <c r="I163" s="11"/>
      <c r="J163" s="198"/>
      <c r="K163" s="24"/>
      <c r="L163" s="28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9:23" ht="12.75" customHeight="1">
      <c r="I164" s="11"/>
      <c r="J164" s="189"/>
      <c r="K164" s="24"/>
      <c r="L164" s="28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9:23" ht="12.75" customHeight="1">
      <c r="I165" s="11"/>
      <c r="J165" s="189"/>
      <c r="K165" s="14"/>
      <c r="L165" s="29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9:23" ht="12.75" customHeight="1">
      <c r="I166" s="11"/>
      <c r="J166" s="189"/>
      <c r="K166" s="14"/>
      <c r="L166" s="28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9:23" ht="12.75" customHeight="1">
      <c r="I167" s="11"/>
      <c r="J167" s="189"/>
      <c r="K167" s="24"/>
      <c r="L167" s="30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9:23" ht="12.75" customHeight="1">
      <c r="I168" s="11"/>
      <c r="J168" s="189"/>
      <c r="K168" s="14"/>
      <c r="L168" s="28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9:23" ht="12.75" customHeight="1">
      <c r="I169" s="11"/>
      <c r="J169" s="189"/>
      <c r="K169" s="14"/>
      <c r="L169" s="31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9:23" ht="12.75" customHeight="1">
      <c r="I170" s="11"/>
      <c r="J170" s="189"/>
      <c r="K170" s="14"/>
      <c r="L170" s="13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9:23" ht="12.75" customHeight="1">
      <c r="I171" s="11"/>
      <c r="J171" s="189"/>
      <c r="K171" s="14"/>
      <c r="L171" s="15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9:23" ht="12.75" customHeight="1">
      <c r="I172" s="11"/>
      <c r="J172" s="189"/>
      <c r="K172" s="14"/>
      <c r="L172" s="16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9:23" ht="12.75" customHeight="1">
      <c r="I173" s="11"/>
      <c r="J173" s="189"/>
      <c r="K173" s="14"/>
      <c r="L173" s="20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9:23" ht="12.75" customHeight="1">
      <c r="I174" s="11"/>
      <c r="J174" s="189"/>
      <c r="K174" s="14"/>
      <c r="L174" s="21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9:23" ht="12.75" customHeight="1">
      <c r="I175" s="11"/>
      <c r="J175" s="198"/>
      <c r="K175" s="14"/>
      <c r="L175" s="25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9:23" ht="12.75" customHeight="1">
      <c r="I176" s="11"/>
      <c r="J176" s="189"/>
      <c r="K176" s="14"/>
      <c r="L176" s="32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9:23" ht="12.75" customHeight="1">
      <c r="I177" s="11"/>
      <c r="J177" s="189"/>
      <c r="K177" s="14"/>
      <c r="L177" s="15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9:23" ht="12.75" customHeight="1">
      <c r="I178" s="12"/>
      <c r="J178" s="189"/>
      <c r="K178" s="14"/>
      <c r="L178" s="15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9:23" ht="12.75" customHeight="1">
      <c r="I179" s="12"/>
      <c r="J179" s="189"/>
      <c r="K179" s="14"/>
      <c r="L179" s="15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9:23" ht="12.75" customHeight="1">
      <c r="I180" s="11"/>
      <c r="J180" s="189"/>
      <c r="K180" s="14"/>
      <c r="L180" s="15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9:23" ht="12.75" customHeight="1">
      <c r="I181" s="11"/>
      <c r="J181" s="189"/>
      <c r="K181" s="14"/>
      <c r="L181" s="28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9:23" ht="12.75" customHeight="1">
      <c r="I182" s="11"/>
      <c r="J182" s="189"/>
      <c r="K182" s="14"/>
      <c r="L182" s="28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9:23" ht="12.75" customHeight="1">
      <c r="I183" s="11"/>
      <c r="J183" s="189"/>
      <c r="K183" s="24"/>
      <c r="L183" s="29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9:23" ht="12.75" customHeight="1">
      <c r="I184" s="11"/>
      <c r="J184" s="193"/>
      <c r="K184" s="24"/>
      <c r="L184" s="29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9:23" ht="12.75" customHeight="1">
      <c r="I185" s="11"/>
      <c r="J185" s="192"/>
      <c r="K185" s="24"/>
      <c r="L185" s="29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  <row r="186" spans="9:23" ht="12.75" customHeight="1">
      <c r="I186" s="11"/>
      <c r="J186" s="192"/>
      <c r="K186" s="24"/>
      <c r="L186" s="29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</row>
    <row r="187" spans="9:23" ht="12.75" customHeight="1">
      <c r="I187" s="11"/>
      <c r="J187" s="192"/>
      <c r="K187" s="24"/>
      <c r="L187" s="29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</row>
    <row r="188" spans="9:23" ht="12.75" customHeight="1">
      <c r="I188" s="11"/>
      <c r="J188" s="192"/>
      <c r="K188" s="24"/>
      <c r="L188" s="29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</row>
    <row r="189" spans="9:23" ht="12.75" customHeight="1">
      <c r="I189" s="11"/>
      <c r="J189" s="189"/>
      <c r="K189" s="24"/>
      <c r="L189" s="28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</row>
    <row r="190" spans="9:23" ht="12.75" customHeight="1">
      <c r="I190" s="11"/>
      <c r="J190" s="196"/>
      <c r="K190" s="17"/>
      <c r="L190" s="28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</row>
    <row r="191" spans="9:23" ht="12.75" customHeight="1">
      <c r="I191" s="11"/>
      <c r="J191" s="196"/>
      <c r="K191" s="15"/>
      <c r="L191" s="28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</row>
    <row r="192" spans="9:23" ht="12.75" customHeight="1">
      <c r="I192" s="27"/>
      <c r="J192" s="196"/>
      <c r="K192" s="15"/>
      <c r="L192" s="28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</row>
    <row r="193" spans="9:23" ht="12.75" customHeight="1">
      <c r="I193" s="11"/>
      <c r="J193" s="196"/>
      <c r="K193" s="15"/>
      <c r="L193" s="28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</row>
    <row r="194" spans="9:23" ht="12.75" customHeight="1">
      <c r="I194" s="11"/>
      <c r="J194" s="198"/>
      <c r="K194" s="15"/>
      <c r="L194" s="28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</row>
    <row r="195" spans="9:23" ht="12.75" customHeight="1">
      <c r="I195" s="11"/>
      <c r="J195" s="196"/>
      <c r="K195" s="17"/>
      <c r="L195" s="28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</row>
    <row r="196" spans="9:23" ht="12.75" customHeight="1">
      <c r="I196" s="11"/>
      <c r="J196" s="196"/>
      <c r="K196" s="17"/>
      <c r="L196" s="28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</row>
    <row r="197" spans="9:23" ht="12.75" customHeight="1">
      <c r="I197" s="11"/>
      <c r="J197" s="189"/>
      <c r="K197" s="14"/>
      <c r="L197" s="28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</row>
    <row r="198" spans="9:23" ht="12.75" customHeight="1">
      <c r="I198" s="11"/>
      <c r="J198" s="189"/>
      <c r="K198" s="14"/>
      <c r="L198" s="28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</row>
    <row r="199" spans="9:23" ht="12.75" customHeight="1">
      <c r="I199" s="598"/>
      <c r="J199" s="598"/>
      <c r="K199" s="598"/>
      <c r="L199" s="598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</row>
    <row r="200" spans="9:23" ht="12.75" customHeight="1">
      <c r="I200" s="14"/>
      <c r="J200" s="189"/>
      <c r="K200" s="14"/>
      <c r="L200" s="15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</row>
    <row r="201" spans="9:23" ht="12.75" customHeight="1">
      <c r="I201" s="10"/>
      <c r="J201" s="189"/>
      <c r="K201" s="14"/>
      <c r="L201" s="15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</row>
    <row r="202" spans="9:23" ht="12.75" customHeight="1">
      <c r="I202" s="11"/>
      <c r="J202" s="197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spans="9:23" ht="12.75" customHeight="1">
      <c r="I203" s="11"/>
      <c r="J203" s="189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</row>
    <row r="204" spans="9:23" ht="12.75" customHeight="1">
      <c r="I204" s="11"/>
      <c r="J204" s="193"/>
      <c r="K204" s="14"/>
      <c r="L204" s="15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</row>
    <row r="205" spans="9:23" ht="12.75" customHeight="1">
      <c r="I205" s="11"/>
      <c r="J205" s="193"/>
      <c r="K205" s="14"/>
      <c r="L205" s="15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</row>
    <row r="206" spans="9:23" ht="12.75" customHeight="1">
      <c r="I206" s="11"/>
      <c r="J206" s="193"/>
      <c r="K206" s="14"/>
      <c r="L206" s="15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</row>
    <row r="207" spans="9:23" ht="12.75" customHeight="1">
      <c r="I207" s="11"/>
      <c r="J207" s="193"/>
      <c r="K207" s="14"/>
      <c r="L207" s="15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</row>
    <row r="208" spans="9:23" ht="12.75" customHeight="1">
      <c r="I208" s="11"/>
      <c r="J208" s="193"/>
      <c r="K208" s="14"/>
      <c r="L208" s="28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</row>
    <row r="209" spans="9:23" ht="12.75" customHeight="1">
      <c r="I209" s="11"/>
      <c r="J209" s="193"/>
      <c r="K209" s="24"/>
      <c r="L209" s="28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</row>
    <row r="210" spans="9:23" ht="12.75" customHeight="1">
      <c r="I210" s="11"/>
      <c r="J210" s="193"/>
      <c r="K210" s="24"/>
      <c r="L210" s="28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</row>
    <row r="211" spans="9:23" ht="12.75" customHeight="1">
      <c r="I211" s="11"/>
      <c r="J211" s="193"/>
      <c r="K211" s="24"/>
      <c r="L211" s="28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</row>
    <row r="212" spans="9:23" ht="12.75" customHeight="1">
      <c r="I212" s="11"/>
      <c r="J212" s="193"/>
      <c r="K212" s="24"/>
      <c r="L212" s="28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</row>
    <row r="213" spans="9:23" ht="12.75" customHeight="1">
      <c r="I213" s="11"/>
      <c r="J213" s="193"/>
      <c r="K213" s="24"/>
      <c r="L213" s="28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</row>
    <row r="214" spans="9:23" ht="12.75" customHeight="1">
      <c r="I214" s="11"/>
      <c r="J214" s="193"/>
      <c r="K214" s="14"/>
      <c r="L214" s="29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</row>
    <row r="215" spans="9:23" ht="12.75" customHeight="1">
      <c r="I215" s="11"/>
      <c r="J215" s="193"/>
      <c r="K215" s="14"/>
      <c r="L215" s="28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</row>
    <row r="216" spans="9:23" ht="12.75" customHeight="1">
      <c r="I216" s="11"/>
      <c r="J216" s="189"/>
      <c r="K216" s="24"/>
      <c r="L216" s="30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</row>
    <row r="217" spans="9:23" ht="12.75" customHeight="1">
      <c r="I217" s="11"/>
      <c r="J217" s="198"/>
      <c r="K217" s="14"/>
      <c r="L217" s="28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</row>
    <row r="218" spans="9:23" ht="12.75" customHeight="1">
      <c r="I218" s="11"/>
      <c r="J218" s="189"/>
      <c r="K218" s="14"/>
      <c r="L218" s="31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</row>
    <row r="219" spans="9:23" ht="12.75" customHeight="1">
      <c r="I219" s="11"/>
      <c r="J219" s="193"/>
      <c r="K219" s="14"/>
      <c r="L219" s="13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</row>
    <row r="220" spans="9:23" ht="12.75" customHeight="1">
      <c r="I220" s="11"/>
      <c r="J220" s="193"/>
      <c r="K220" s="14"/>
      <c r="L220" s="15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</row>
    <row r="221" spans="9:23" ht="12.75" customHeight="1">
      <c r="I221" s="11"/>
      <c r="J221" s="198"/>
      <c r="K221" s="14"/>
      <c r="L221" s="16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</row>
    <row r="222" spans="9:23" ht="12.75" customHeight="1">
      <c r="I222" s="11"/>
      <c r="J222" s="193"/>
      <c r="K222" s="14"/>
      <c r="L222" s="20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</row>
    <row r="223" spans="9:23" ht="12.75" customHeight="1">
      <c r="I223" s="11"/>
      <c r="J223" s="193"/>
      <c r="K223" s="14"/>
      <c r="L223" s="21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</row>
    <row r="224" spans="9:23" ht="12.75" customHeight="1">
      <c r="I224" s="11"/>
      <c r="J224" s="189"/>
      <c r="K224" s="14"/>
      <c r="L224" s="25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</row>
    <row r="225" spans="9:23" ht="12.75" customHeight="1">
      <c r="I225" s="11"/>
      <c r="J225" s="189"/>
      <c r="K225" s="14"/>
      <c r="L225" s="32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</row>
    <row r="226" spans="9:23" ht="12.75" customHeight="1">
      <c r="I226" s="11"/>
      <c r="J226" s="189"/>
      <c r="K226" s="14"/>
      <c r="L226" s="15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</row>
    <row r="227" spans="9:23" ht="12.75" customHeight="1">
      <c r="I227" s="11"/>
      <c r="J227" s="189"/>
      <c r="K227" s="14"/>
      <c r="L227" s="15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</row>
    <row r="228" spans="9:23" ht="12.75" customHeight="1">
      <c r="I228" s="11"/>
      <c r="J228" s="189"/>
      <c r="K228" s="14"/>
      <c r="L228" s="15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</row>
    <row r="229" spans="9:23" ht="12.75" customHeight="1">
      <c r="I229" s="11"/>
      <c r="J229" s="189"/>
      <c r="K229" s="14"/>
      <c r="L229" s="15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</row>
    <row r="230" spans="9:23" ht="12.75" customHeight="1">
      <c r="I230" s="11"/>
      <c r="J230" s="189"/>
      <c r="K230" s="14"/>
      <c r="L230" s="28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</row>
    <row r="231" spans="9:23" ht="12.75" customHeight="1">
      <c r="I231" s="11"/>
      <c r="J231" s="189"/>
      <c r="K231" s="14"/>
      <c r="L231" s="28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</row>
    <row r="232" spans="9:23" ht="12.75" customHeight="1">
      <c r="I232" s="11"/>
      <c r="J232" s="189"/>
      <c r="K232" s="24"/>
      <c r="L232" s="29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</row>
    <row r="233" spans="9:23" ht="12.75" customHeight="1">
      <c r="I233" s="11"/>
      <c r="J233" s="189"/>
      <c r="K233" s="24"/>
      <c r="L233" s="29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</row>
    <row r="234" spans="9:23" ht="12.75" customHeight="1">
      <c r="I234" s="11"/>
      <c r="J234" s="198"/>
      <c r="K234" s="17"/>
      <c r="L234" s="29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</row>
    <row r="235" spans="9:23" ht="12.75" customHeight="1">
      <c r="I235" s="11"/>
      <c r="J235" s="189"/>
      <c r="K235" s="24"/>
      <c r="L235" s="29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</row>
    <row r="236" spans="9:23" ht="12.75" customHeight="1">
      <c r="I236" s="11"/>
      <c r="J236" s="189"/>
      <c r="K236" s="24"/>
      <c r="L236" s="29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</row>
    <row r="237" spans="9:23" ht="12.75" customHeight="1">
      <c r="I237" s="12"/>
      <c r="J237" s="189"/>
      <c r="K237" s="24"/>
      <c r="L237" s="29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</row>
    <row r="238" spans="9:23" ht="12.75" customHeight="1"/>
    <row r="239" spans="9:23" ht="12.75" customHeight="1"/>
    <row r="240" spans="9:23" ht="12.75" customHeight="1"/>
    <row r="241" ht="12.75" customHeight="1"/>
    <row r="242" ht="12.75" customHeight="1"/>
    <row r="243" ht="12.75" customHeight="1"/>
    <row r="244" ht="12.75" customHeight="1"/>
    <row r="245" ht="15" customHeight="1"/>
    <row r="295" ht="12.75" customHeight="1"/>
    <row r="339" ht="16.5" customHeight="1"/>
  </sheetData>
  <mergeCells count="32">
    <mergeCell ref="G14:H14"/>
    <mergeCell ref="G15:H15"/>
    <mergeCell ref="G16:H16"/>
    <mergeCell ref="B14:D16"/>
    <mergeCell ref="E14:F14"/>
    <mergeCell ref="E15:F15"/>
    <mergeCell ref="E16:F16"/>
    <mergeCell ref="B10:D11"/>
    <mergeCell ref="B12:D13"/>
    <mergeCell ref="G10:H10"/>
    <mergeCell ref="G11:H11"/>
    <mergeCell ref="E10:F10"/>
    <mergeCell ref="E11:F11"/>
    <mergeCell ref="G12:H12"/>
    <mergeCell ref="G13:H13"/>
    <mergeCell ref="B2:H5"/>
    <mergeCell ref="B6:C7"/>
    <mergeCell ref="D6:H7"/>
    <mergeCell ref="B8:C9"/>
    <mergeCell ref="D8:H9"/>
    <mergeCell ref="I135:L135"/>
    <mergeCell ref="I199:L199"/>
    <mergeCell ref="D20:G20"/>
    <mergeCell ref="B17:H17"/>
    <mergeCell ref="B18:B19"/>
    <mergeCell ref="D18:D19"/>
    <mergeCell ref="E18:E19"/>
    <mergeCell ref="F18:F19"/>
    <mergeCell ref="G18:H18"/>
    <mergeCell ref="D63:G63"/>
    <mergeCell ref="D94:G94"/>
    <mergeCell ref="D80:G80"/>
  </mergeCells>
  <printOptions horizontalCentered="1"/>
  <pageMargins left="0.47244094488188981" right="0.39370078740157483" top="0.47244094488188981" bottom="0.39370078740157483" header="0.51181102362204722" footer="0.51181102362204722"/>
  <pageSetup paperSize="9" scale="74" firstPageNumber="0" fitToHeight="2" orientation="portrait" horizontalDpi="300" verticalDpi="300" r:id="rId1"/>
  <headerFooter alignWithMargins="0"/>
  <rowBreaks count="1" manualBreakCount="1">
    <brk id="41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L1701"/>
  <sheetViews>
    <sheetView view="pageBreakPreview" zoomScaleNormal="100" zoomScaleSheetLayoutView="100" workbookViewId="0">
      <selection activeCell="B14" sqref="B14:I14"/>
    </sheetView>
  </sheetViews>
  <sheetFormatPr defaultRowHeight="12.75"/>
  <cols>
    <col min="1" max="1" width="3.85546875" style="33" customWidth="1"/>
    <col min="2" max="2" width="52.140625" style="33" customWidth="1"/>
    <col min="3" max="3" width="11.140625" style="130" customWidth="1"/>
    <col min="4" max="4" width="11.28515625" style="130" customWidth="1"/>
    <col min="5" max="5" width="9" style="33" customWidth="1"/>
    <col min="6" max="6" width="9.28515625" style="33" customWidth="1"/>
    <col min="7" max="7" width="10.85546875" style="33" customWidth="1"/>
    <col min="8" max="8" width="9.42578125" style="33" customWidth="1"/>
    <col min="9" max="9" width="12" style="130" customWidth="1"/>
    <col min="10" max="10" width="7.140625" style="33" customWidth="1"/>
    <col min="11" max="11" width="9.140625" style="33"/>
    <col min="12" max="12" width="9.42578125" style="33" bestFit="1" customWidth="1"/>
    <col min="13" max="16384" width="9.140625" style="33"/>
  </cols>
  <sheetData>
    <row r="2" spans="2:10" s="127" customFormat="1" ht="30" customHeight="1">
      <c r="B2" s="473" t="s">
        <v>55</v>
      </c>
      <c r="C2" s="474" t="str">
        <f>'Planilha Orçamentária'!B21</f>
        <v>1.1</v>
      </c>
      <c r="D2" s="639" t="s">
        <v>56</v>
      </c>
      <c r="E2" s="639"/>
      <c r="F2" s="639"/>
      <c r="G2" s="639"/>
      <c r="H2" s="639"/>
      <c r="I2" s="639"/>
    </row>
    <row r="3" spans="2:10" s="127" customFormat="1" ht="30" customHeight="1">
      <c r="B3" s="640" t="s">
        <v>332</v>
      </c>
      <c r="C3" s="641"/>
      <c r="D3" s="641"/>
      <c r="E3" s="641"/>
      <c r="F3" s="641"/>
      <c r="G3" s="642"/>
      <c r="H3" s="643" t="s">
        <v>700</v>
      </c>
      <c r="I3" s="644"/>
    </row>
    <row r="4" spans="2:10" s="127" customFormat="1" ht="30" customHeight="1">
      <c r="B4" s="625" t="s">
        <v>333</v>
      </c>
      <c r="C4" s="625"/>
      <c r="D4" s="625"/>
      <c r="E4" s="625"/>
      <c r="F4" s="625"/>
      <c r="G4" s="625"/>
      <c r="H4" s="34" t="s">
        <v>57</v>
      </c>
      <c r="I4" s="126" t="s">
        <v>379</v>
      </c>
    </row>
    <row r="5" spans="2:10" s="127" customFormat="1" ht="30" customHeight="1">
      <c r="B5" s="704" t="s">
        <v>58</v>
      </c>
      <c r="C5" s="704"/>
      <c r="D5" s="704"/>
      <c r="E5" s="704"/>
      <c r="F5" s="704"/>
      <c r="G5" s="704"/>
      <c r="H5" s="704"/>
      <c r="I5" s="704"/>
    </row>
    <row r="6" spans="2:10" ht="25.5">
      <c r="B6" s="35" t="s">
        <v>59</v>
      </c>
      <c r="C6" s="36" t="s">
        <v>60</v>
      </c>
      <c r="D6" s="36" t="s">
        <v>6</v>
      </c>
      <c r="E6" s="36">
        <f>BDI!C37</f>
        <v>24.5</v>
      </c>
      <c r="F6" s="36" t="s">
        <v>62</v>
      </c>
      <c r="G6" s="36" t="s">
        <v>63</v>
      </c>
      <c r="H6" s="36" t="s">
        <v>64</v>
      </c>
      <c r="I6" s="37" t="s">
        <v>65</v>
      </c>
    </row>
    <row r="7" spans="2:10" ht="21" customHeight="1">
      <c r="B7" s="38" t="s">
        <v>66</v>
      </c>
      <c r="C7" s="88" t="s">
        <v>67</v>
      </c>
      <c r="D7" s="88">
        <v>9</v>
      </c>
      <c r="E7" s="47">
        <v>1</v>
      </c>
      <c r="F7" s="47"/>
      <c r="G7" s="56">
        <f>INSUMOS!E97</f>
        <v>54</v>
      </c>
      <c r="H7" s="47"/>
      <c r="I7" s="87">
        <f>D7*E7*G7+D7*F7*H7</f>
        <v>486</v>
      </c>
    </row>
    <row r="8" spans="2:10" ht="18.75" customHeight="1">
      <c r="B8" s="38" t="s">
        <v>68</v>
      </c>
      <c r="C8" s="88" t="s">
        <v>67</v>
      </c>
      <c r="D8" s="88">
        <v>9</v>
      </c>
      <c r="E8" s="47">
        <v>1</v>
      </c>
      <c r="F8" s="47"/>
      <c r="G8" s="56">
        <f>INSUMOS!E86</f>
        <v>8.27</v>
      </c>
      <c r="H8" s="47"/>
      <c r="I8" s="87">
        <f>D8*E8*G8+D8*F8*H8</f>
        <v>74.430000000000007</v>
      </c>
    </row>
    <row r="9" spans="2:10" ht="18" customHeight="1">
      <c r="B9" s="731" t="s">
        <v>69</v>
      </c>
      <c r="C9" s="731"/>
      <c r="D9" s="731"/>
      <c r="E9" s="731"/>
      <c r="F9" s="731"/>
      <c r="G9" s="731"/>
      <c r="H9" s="731"/>
      <c r="I9" s="95">
        <f>SUM(I7:I8)</f>
        <v>560.42999999999995</v>
      </c>
    </row>
    <row r="10" spans="2:10" s="127" customFormat="1" ht="30" customHeight="1">
      <c r="B10" s="704" t="s">
        <v>70</v>
      </c>
      <c r="C10" s="704"/>
      <c r="D10" s="704"/>
      <c r="E10" s="704"/>
      <c r="F10" s="704"/>
      <c r="G10" s="704"/>
      <c r="H10" s="704"/>
      <c r="I10" s="704"/>
    </row>
    <row r="11" spans="2:10">
      <c r="B11" s="41" t="s">
        <v>59</v>
      </c>
      <c r="C11" s="40" t="s">
        <v>60</v>
      </c>
      <c r="D11" s="40" t="s">
        <v>6</v>
      </c>
      <c r="E11" s="42"/>
      <c r="F11" s="42"/>
      <c r="G11" s="36"/>
      <c r="H11" s="40" t="s">
        <v>71</v>
      </c>
      <c r="I11" s="43" t="s">
        <v>65</v>
      </c>
    </row>
    <row r="12" spans="2:10">
      <c r="B12" s="44"/>
      <c r="C12" s="40"/>
      <c r="D12" s="40"/>
      <c r="E12" s="42"/>
      <c r="F12" s="42"/>
      <c r="G12" s="42"/>
      <c r="H12" s="40"/>
      <c r="I12" s="100">
        <f>D12*H12</f>
        <v>0</v>
      </c>
    </row>
    <row r="13" spans="2:10" ht="12.75" customHeight="1">
      <c r="B13" s="628" t="s">
        <v>69</v>
      </c>
      <c r="C13" s="628"/>
      <c r="D13" s="628"/>
      <c r="E13" s="628"/>
      <c r="F13" s="628"/>
      <c r="G13" s="628"/>
      <c r="H13" s="628"/>
      <c r="I13" s="43">
        <f>SUM(I12:I12)</f>
        <v>0</v>
      </c>
    </row>
    <row r="14" spans="2:10" s="127" customFormat="1" ht="30" customHeight="1">
      <c r="B14" s="704" t="s">
        <v>72</v>
      </c>
      <c r="C14" s="704"/>
      <c r="D14" s="704"/>
      <c r="E14" s="704"/>
      <c r="F14" s="704"/>
      <c r="G14" s="704"/>
      <c r="H14" s="704"/>
      <c r="I14" s="704"/>
    </row>
    <row r="15" spans="2:10" s="127" customFormat="1" ht="15.95" customHeight="1">
      <c r="B15" s="45" t="s">
        <v>59</v>
      </c>
      <c r="C15" s="47" t="s">
        <v>60</v>
      </c>
      <c r="D15" s="47" t="s">
        <v>6</v>
      </c>
      <c r="E15" s="46"/>
      <c r="F15" s="46"/>
      <c r="G15" s="46"/>
      <c r="H15" s="47" t="s">
        <v>71</v>
      </c>
      <c r="I15" s="90" t="s">
        <v>65</v>
      </c>
    </row>
    <row r="16" spans="2:10" s="127" customFormat="1" ht="15.95" customHeight="1">
      <c r="B16" s="264" t="s">
        <v>73</v>
      </c>
      <c r="C16" s="49" t="s">
        <v>13</v>
      </c>
      <c r="D16" s="49">
        <v>2</v>
      </c>
      <c r="E16" s="49"/>
      <c r="F16" s="49"/>
      <c r="G16" s="49"/>
      <c r="H16" s="56">
        <v>15</v>
      </c>
      <c r="I16" s="87">
        <f>D16*H16</f>
        <v>30</v>
      </c>
      <c r="J16" s="178"/>
    </row>
    <row r="17" spans="2:9" s="127" customFormat="1" ht="15.95" customHeight="1">
      <c r="B17" s="628" t="s">
        <v>69</v>
      </c>
      <c r="C17" s="628"/>
      <c r="D17" s="628"/>
      <c r="E17" s="628"/>
      <c r="F17" s="628"/>
      <c r="G17" s="628"/>
      <c r="H17" s="628"/>
      <c r="I17" s="90">
        <f>SUM(I16:I16)</f>
        <v>30</v>
      </c>
    </row>
    <row r="18" spans="2:9" s="127" customFormat="1" ht="30" customHeight="1">
      <c r="B18" s="704" t="s">
        <v>74</v>
      </c>
      <c r="C18" s="704"/>
      <c r="D18" s="704"/>
      <c r="E18" s="704"/>
      <c r="F18" s="704"/>
      <c r="G18" s="704"/>
      <c r="H18" s="704"/>
      <c r="I18" s="704"/>
    </row>
    <row r="19" spans="2:9" s="127" customFormat="1" ht="15.95" customHeight="1">
      <c r="B19" s="149" t="s">
        <v>59</v>
      </c>
      <c r="C19" s="47" t="s">
        <v>60</v>
      </c>
      <c r="D19" s="47" t="s">
        <v>6</v>
      </c>
      <c r="E19" s="46"/>
      <c r="F19" s="46"/>
      <c r="G19" s="46"/>
      <c r="H19" s="47" t="s">
        <v>71</v>
      </c>
      <c r="I19" s="90" t="s">
        <v>65</v>
      </c>
    </row>
    <row r="20" spans="2:9" s="127" customFormat="1" ht="15.95" customHeight="1">
      <c r="B20" s="91" t="s">
        <v>75</v>
      </c>
      <c r="C20" s="47" t="s">
        <v>67</v>
      </c>
      <c r="D20" s="47">
        <v>10</v>
      </c>
      <c r="E20" s="46"/>
      <c r="F20" s="46"/>
      <c r="G20" s="46"/>
      <c r="H20" s="56">
        <f>INSUMOS!E14</f>
        <v>3.42</v>
      </c>
      <c r="I20" s="87">
        <f>D20*H20</f>
        <v>34.200000000000003</v>
      </c>
    </row>
    <row r="21" spans="2:9" s="127" customFormat="1" ht="15.95" customHeight="1">
      <c r="B21" s="635" t="s">
        <v>576</v>
      </c>
      <c r="C21" s="635"/>
      <c r="D21" s="635"/>
      <c r="E21" s="635"/>
      <c r="F21" s="635"/>
      <c r="G21" s="635"/>
      <c r="H21" s="635"/>
      <c r="I21" s="90">
        <f>I20*0.9103</f>
        <v>31.13</v>
      </c>
    </row>
    <row r="22" spans="2:9" s="127" customFormat="1" ht="15.95" customHeight="1">
      <c r="B22" s="628" t="s">
        <v>69</v>
      </c>
      <c r="C22" s="628"/>
      <c r="D22" s="628"/>
      <c r="E22" s="628"/>
      <c r="F22" s="628"/>
      <c r="G22" s="628"/>
      <c r="H22" s="628"/>
      <c r="I22" s="95">
        <f>SUM(I20:I21)</f>
        <v>65.33</v>
      </c>
    </row>
    <row r="23" spans="2:9" s="127" customFormat="1" ht="15.95" customHeight="1">
      <c r="B23" s="54" t="s">
        <v>76</v>
      </c>
      <c r="C23" s="144">
        <v>1</v>
      </c>
      <c r="D23" s="732" t="s">
        <v>77</v>
      </c>
      <c r="E23" s="732"/>
      <c r="F23" s="732"/>
      <c r="G23" s="732"/>
      <c r="H23" s="732"/>
      <c r="I23" s="95">
        <f>I22+I17+I13+I9</f>
        <v>655.76</v>
      </c>
    </row>
    <row r="24" spans="2:9" s="127" customFormat="1" ht="15.95" customHeight="1">
      <c r="B24" s="632"/>
      <c r="C24" s="633"/>
      <c r="D24" s="633"/>
      <c r="E24" s="633"/>
      <c r="F24" s="633"/>
      <c r="G24" s="633"/>
      <c r="H24" s="634"/>
      <c r="I24" s="95">
        <f>I23/C23</f>
        <v>655.76</v>
      </c>
    </row>
    <row r="25" spans="2:9" s="127" customFormat="1" ht="15.95" customHeight="1">
      <c r="B25" s="139" t="s">
        <v>334</v>
      </c>
      <c r="C25" s="145">
        <f>BDI!C37</f>
        <v>24.5</v>
      </c>
      <c r="D25" s="146" t="s">
        <v>269</v>
      </c>
      <c r="E25" s="136"/>
      <c r="F25" s="136"/>
      <c r="G25" s="136"/>
      <c r="H25" s="137"/>
      <c r="I25" s="90">
        <f>C25/100*I24</f>
        <v>160.66</v>
      </c>
    </row>
    <row r="26" spans="2:9" s="127" customFormat="1" ht="30" customHeight="1" thickBot="1">
      <c r="B26" s="627" t="s">
        <v>78</v>
      </c>
      <c r="C26" s="733"/>
      <c r="D26" s="627"/>
      <c r="E26" s="627"/>
      <c r="F26" s="627"/>
      <c r="G26" s="627"/>
      <c r="H26" s="627"/>
      <c r="I26" s="135">
        <f>SUM(I24:I25)</f>
        <v>816.42</v>
      </c>
    </row>
    <row r="27" spans="2:9">
      <c r="B27" s="55"/>
      <c r="C27" s="128"/>
      <c r="D27" s="128"/>
      <c r="E27" s="55"/>
      <c r="F27" s="55"/>
      <c r="G27" s="55"/>
      <c r="H27" s="55"/>
      <c r="I27" s="128"/>
    </row>
    <row r="28" spans="2:9">
      <c r="B28" s="55"/>
      <c r="C28" s="128"/>
      <c r="D28" s="128"/>
      <c r="E28" s="55"/>
      <c r="F28" s="55"/>
      <c r="G28" s="55"/>
      <c r="H28" s="55"/>
      <c r="I28" s="128"/>
    </row>
    <row r="29" spans="2:9">
      <c r="B29" s="55"/>
      <c r="C29" s="128"/>
      <c r="D29" s="128"/>
      <c r="E29" s="55"/>
      <c r="F29" s="55"/>
      <c r="G29" s="55"/>
      <c r="H29" s="55"/>
      <c r="I29" s="128"/>
    </row>
    <row r="30" spans="2:9">
      <c r="B30" s="55"/>
      <c r="C30" s="128"/>
      <c r="D30" s="128"/>
      <c r="E30" s="55"/>
      <c r="F30" s="55"/>
      <c r="G30" s="55"/>
      <c r="H30" s="55"/>
      <c r="I30" s="128"/>
    </row>
    <row r="31" spans="2:9">
      <c r="B31" s="55"/>
      <c r="C31" s="128"/>
      <c r="D31" s="128"/>
      <c r="E31" s="55"/>
      <c r="F31" s="55"/>
      <c r="G31" s="55"/>
      <c r="H31" s="55"/>
      <c r="I31" s="128"/>
    </row>
    <row r="32" spans="2:9">
      <c r="B32" s="55"/>
      <c r="C32" s="128"/>
      <c r="D32" s="128"/>
      <c r="E32" s="55"/>
      <c r="F32" s="55"/>
      <c r="G32" s="55"/>
      <c r="H32" s="55"/>
      <c r="I32" s="128"/>
    </row>
    <row r="33" spans="2:10" ht="13.5" thickBot="1">
      <c r="B33" s="55"/>
      <c r="C33" s="128"/>
      <c r="D33" s="128"/>
      <c r="E33" s="55"/>
      <c r="F33" s="55"/>
      <c r="G33" s="55"/>
      <c r="H33" s="55"/>
      <c r="I33" s="128"/>
    </row>
    <row r="34" spans="2:10" s="127" customFormat="1" ht="30" customHeight="1">
      <c r="B34" s="200" t="s">
        <v>55</v>
      </c>
      <c r="C34" s="474" t="str">
        <f>'Planilha Orçamentária'!B22</f>
        <v>1.2</v>
      </c>
      <c r="D34" s="639" t="s">
        <v>56</v>
      </c>
      <c r="E34" s="639"/>
      <c r="F34" s="639"/>
      <c r="G34" s="639"/>
      <c r="H34" s="639"/>
      <c r="I34" s="639"/>
    </row>
    <row r="35" spans="2:10" s="127" customFormat="1" ht="30" customHeight="1">
      <c r="B35" s="640" t="s">
        <v>332</v>
      </c>
      <c r="C35" s="641"/>
      <c r="D35" s="641"/>
      <c r="E35" s="641"/>
      <c r="F35" s="641"/>
      <c r="G35" s="642"/>
      <c r="H35" s="643" t="s">
        <v>700</v>
      </c>
      <c r="I35" s="644"/>
    </row>
    <row r="36" spans="2:10" s="127" customFormat="1" ht="30" customHeight="1">
      <c r="B36" s="625" t="s">
        <v>79</v>
      </c>
      <c r="C36" s="625"/>
      <c r="D36" s="625"/>
      <c r="E36" s="625"/>
      <c r="F36" s="625"/>
      <c r="G36" s="625"/>
      <c r="H36" s="34" t="s">
        <v>57</v>
      </c>
      <c r="I36" s="126" t="s">
        <v>379</v>
      </c>
    </row>
    <row r="37" spans="2:10" s="127" customFormat="1" ht="30" customHeight="1">
      <c r="B37" s="704" t="s">
        <v>58</v>
      </c>
      <c r="C37" s="704"/>
      <c r="D37" s="704"/>
      <c r="E37" s="704"/>
      <c r="F37" s="704"/>
      <c r="G37" s="704"/>
      <c r="H37" s="704"/>
      <c r="I37" s="704"/>
    </row>
    <row r="38" spans="2:10" ht="28.5" customHeight="1">
      <c r="B38" s="35" t="s">
        <v>59</v>
      </c>
      <c r="C38" s="36" t="s">
        <v>60</v>
      </c>
      <c r="D38" s="36" t="s">
        <v>6</v>
      </c>
      <c r="E38" s="36" t="s">
        <v>61</v>
      </c>
      <c r="F38" s="36" t="s">
        <v>62</v>
      </c>
      <c r="G38" s="36" t="s">
        <v>63</v>
      </c>
      <c r="H38" s="36" t="s">
        <v>64</v>
      </c>
      <c r="I38" s="37" t="s">
        <v>65</v>
      </c>
    </row>
    <row r="39" spans="2:10" s="127" customFormat="1" ht="15" customHeight="1">
      <c r="B39" s="38" t="s">
        <v>66</v>
      </c>
      <c r="C39" s="88" t="s">
        <v>67</v>
      </c>
      <c r="D39" s="88">
        <v>9</v>
      </c>
      <c r="E39" s="47">
        <v>1</v>
      </c>
      <c r="F39" s="47"/>
      <c r="G39" s="56">
        <f>INSUMOS!E97</f>
        <v>54</v>
      </c>
      <c r="H39" s="47"/>
      <c r="I39" s="87">
        <f>D39*E39*G39+D39*F39*H39</f>
        <v>486</v>
      </c>
    </row>
    <row r="40" spans="2:10" s="127" customFormat="1" ht="15" customHeight="1">
      <c r="B40" s="38" t="s">
        <v>68</v>
      </c>
      <c r="C40" s="88" t="s">
        <v>67</v>
      </c>
      <c r="D40" s="88">
        <v>9</v>
      </c>
      <c r="E40" s="47">
        <v>1</v>
      </c>
      <c r="F40" s="47"/>
      <c r="G40" s="56">
        <f>INSUMOS!E86</f>
        <v>8.27</v>
      </c>
      <c r="H40" s="47"/>
      <c r="I40" s="87">
        <f>D40*E40*G40+D40*F40*H40</f>
        <v>74.430000000000007</v>
      </c>
    </row>
    <row r="41" spans="2:10" s="127" customFormat="1" ht="15" customHeight="1">
      <c r="B41" s="731" t="s">
        <v>69</v>
      </c>
      <c r="C41" s="731"/>
      <c r="D41" s="731"/>
      <c r="E41" s="731"/>
      <c r="F41" s="731"/>
      <c r="G41" s="731"/>
      <c r="H41" s="731"/>
      <c r="I41" s="95">
        <f>SUM(I39:I40)</f>
        <v>560.42999999999995</v>
      </c>
    </row>
    <row r="42" spans="2:10" s="127" customFormat="1" ht="30" customHeight="1">
      <c r="B42" s="704" t="s">
        <v>70</v>
      </c>
      <c r="C42" s="704"/>
      <c r="D42" s="704"/>
      <c r="E42" s="704"/>
      <c r="F42" s="704"/>
      <c r="G42" s="704"/>
      <c r="H42" s="704"/>
      <c r="I42" s="704"/>
    </row>
    <row r="43" spans="2:10">
      <c r="B43" s="41" t="s">
        <v>59</v>
      </c>
      <c r="C43" s="40" t="s">
        <v>60</v>
      </c>
      <c r="D43" s="40" t="s">
        <v>6</v>
      </c>
      <c r="E43" s="42"/>
      <c r="F43" s="42"/>
      <c r="G43" s="42"/>
      <c r="H43" s="40" t="s">
        <v>71</v>
      </c>
      <c r="I43" s="43" t="s">
        <v>65</v>
      </c>
    </row>
    <row r="44" spans="2:10">
      <c r="B44" s="44"/>
      <c r="C44" s="40"/>
      <c r="D44" s="40"/>
      <c r="E44" s="42"/>
      <c r="F44" s="42"/>
      <c r="G44" s="42"/>
      <c r="H44" s="40"/>
      <c r="I44" s="100">
        <f>D44*H44</f>
        <v>0</v>
      </c>
    </row>
    <row r="45" spans="2:10" ht="12.75" customHeight="1">
      <c r="B45" s="628" t="s">
        <v>69</v>
      </c>
      <c r="C45" s="628"/>
      <c r="D45" s="628"/>
      <c r="E45" s="628"/>
      <c r="F45" s="628"/>
      <c r="G45" s="628"/>
      <c r="H45" s="628"/>
      <c r="I45" s="43">
        <f>SUM(I44:I44)</f>
        <v>0</v>
      </c>
    </row>
    <row r="46" spans="2:10" s="127" customFormat="1" ht="30" customHeight="1">
      <c r="B46" s="704" t="s">
        <v>72</v>
      </c>
      <c r="C46" s="704"/>
      <c r="D46" s="704"/>
      <c r="E46" s="704"/>
      <c r="F46" s="704"/>
      <c r="G46" s="704"/>
      <c r="H46" s="704"/>
      <c r="I46" s="704"/>
    </row>
    <row r="47" spans="2:10" ht="15" customHeight="1">
      <c r="B47" s="45" t="s">
        <v>59</v>
      </c>
      <c r="C47" s="144" t="s">
        <v>60</v>
      </c>
      <c r="D47" s="47" t="s">
        <v>6</v>
      </c>
      <c r="E47" s="46"/>
      <c r="F47" s="46"/>
      <c r="G47" s="46"/>
      <c r="H47" s="47" t="s">
        <v>71</v>
      </c>
      <c r="I47" s="43" t="s">
        <v>65</v>
      </c>
    </row>
    <row r="48" spans="2:10" ht="15" customHeight="1">
      <c r="B48" s="411" t="s">
        <v>73</v>
      </c>
      <c r="C48" s="145" t="s">
        <v>379</v>
      </c>
      <c r="D48" s="274">
        <v>2</v>
      </c>
      <c r="E48" s="50"/>
      <c r="F48" s="50"/>
      <c r="G48" s="50"/>
      <c r="H48" s="56">
        <v>15</v>
      </c>
      <c r="I48" s="100">
        <f>D48*H48</f>
        <v>30</v>
      </c>
      <c r="J48" s="51"/>
    </row>
    <row r="49" spans="2:9" ht="15" customHeight="1">
      <c r="B49" s="628" t="s">
        <v>69</v>
      </c>
      <c r="C49" s="665"/>
      <c r="D49" s="628"/>
      <c r="E49" s="628"/>
      <c r="F49" s="628"/>
      <c r="G49" s="628"/>
      <c r="H49" s="628"/>
      <c r="I49" s="43">
        <f>SUM(I48:I48)</f>
        <v>30</v>
      </c>
    </row>
    <row r="50" spans="2:9" s="127" customFormat="1" ht="30" customHeight="1">
      <c r="B50" s="704" t="s">
        <v>74</v>
      </c>
      <c r="C50" s="704"/>
      <c r="D50" s="704"/>
      <c r="E50" s="704"/>
      <c r="F50" s="704"/>
      <c r="G50" s="704"/>
      <c r="H50" s="704"/>
      <c r="I50" s="704"/>
    </row>
    <row r="51" spans="2:9" ht="15" customHeight="1">
      <c r="B51" s="149" t="s">
        <v>59</v>
      </c>
      <c r="C51" s="47" t="s">
        <v>60</v>
      </c>
      <c r="D51" s="47" t="s">
        <v>6</v>
      </c>
      <c r="E51" s="46"/>
      <c r="F51" s="46"/>
      <c r="G51" s="46"/>
      <c r="H51" s="47" t="s">
        <v>71</v>
      </c>
      <c r="I51" s="90" t="s">
        <v>65</v>
      </c>
    </row>
    <row r="52" spans="2:9" ht="15" customHeight="1">
      <c r="B52" s="91" t="s">
        <v>75</v>
      </c>
      <c r="C52" s="47" t="s">
        <v>67</v>
      </c>
      <c r="D52" s="47">
        <v>10</v>
      </c>
      <c r="E52" s="46"/>
      <c r="F52" s="46"/>
      <c r="G52" s="46"/>
      <c r="H52" s="56">
        <f>INSUMOS!E14</f>
        <v>3.42</v>
      </c>
      <c r="I52" s="87">
        <f>D52*H52</f>
        <v>34.200000000000003</v>
      </c>
    </row>
    <row r="53" spans="2:9" ht="15" customHeight="1">
      <c r="B53" s="635" t="s">
        <v>576</v>
      </c>
      <c r="C53" s="635"/>
      <c r="D53" s="635"/>
      <c r="E53" s="635"/>
      <c r="F53" s="635"/>
      <c r="G53" s="635"/>
      <c r="H53" s="635"/>
      <c r="I53" s="90">
        <f>I52*0.9103</f>
        <v>31.13</v>
      </c>
    </row>
    <row r="54" spans="2:9" ht="15" customHeight="1">
      <c r="B54" s="628" t="s">
        <v>69</v>
      </c>
      <c r="C54" s="628"/>
      <c r="D54" s="628"/>
      <c r="E54" s="628"/>
      <c r="F54" s="628"/>
      <c r="G54" s="628"/>
      <c r="H54" s="628"/>
      <c r="I54" s="95">
        <f>SUM(I52:I53)</f>
        <v>65.33</v>
      </c>
    </row>
    <row r="55" spans="2:9" ht="15" customHeight="1">
      <c r="B55" s="147" t="s">
        <v>76</v>
      </c>
      <c r="C55" s="148">
        <v>1</v>
      </c>
      <c r="D55" s="652" t="s">
        <v>77</v>
      </c>
      <c r="E55" s="652"/>
      <c r="F55" s="652"/>
      <c r="G55" s="652"/>
      <c r="H55" s="652"/>
      <c r="I55" s="95">
        <f>I54+I49+I45+I41</f>
        <v>655.76</v>
      </c>
    </row>
    <row r="56" spans="2:9" ht="15" customHeight="1">
      <c r="B56" s="677"/>
      <c r="C56" s="678"/>
      <c r="D56" s="678"/>
      <c r="E56" s="678"/>
      <c r="F56" s="678"/>
      <c r="G56" s="678"/>
      <c r="H56" s="679"/>
      <c r="I56" s="95">
        <f>I55/C55</f>
        <v>655.76</v>
      </c>
    </row>
    <row r="57" spans="2:9" ht="15" customHeight="1">
      <c r="B57" s="139" t="s">
        <v>334</v>
      </c>
      <c r="C57" s="145">
        <f>BDI!C37</f>
        <v>24.5</v>
      </c>
      <c r="D57" s="146" t="s">
        <v>269</v>
      </c>
      <c r="E57" s="136"/>
      <c r="F57" s="136"/>
      <c r="G57" s="136"/>
      <c r="H57" s="137"/>
      <c r="I57" s="90">
        <f>C57/100*I56</f>
        <v>160.66</v>
      </c>
    </row>
    <row r="58" spans="2:9" s="127" customFormat="1" ht="30" customHeight="1" thickBot="1">
      <c r="B58" s="627" t="s">
        <v>78</v>
      </c>
      <c r="C58" s="627"/>
      <c r="D58" s="627"/>
      <c r="E58" s="627"/>
      <c r="F58" s="627"/>
      <c r="G58" s="627"/>
      <c r="H58" s="627"/>
      <c r="I58" s="135">
        <f>SUM(I56:I57)</f>
        <v>816.42</v>
      </c>
    </row>
    <row r="59" spans="2:9">
      <c r="B59" s="55"/>
      <c r="C59" s="128"/>
      <c r="D59" s="128"/>
      <c r="E59" s="55"/>
      <c r="F59" s="55"/>
      <c r="G59" s="55"/>
      <c r="H59" s="55"/>
      <c r="I59" s="129"/>
    </row>
    <row r="60" spans="2:9">
      <c r="B60" s="55"/>
      <c r="C60" s="128"/>
      <c r="D60" s="128"/>
      <c r="E60" s="55"/>
      <c r="F60" s="55"/>
      <c r="G60" s="55"/>
      <c r="H60" s="55"/>
      <c r="I60" s="129"/>
    </row>
    <row r="61" spans="2:9">
      <c r="B61" s="55"/>
      <c r="C61" s="128"/>
      <c r="D61" s="128"/>
      <c r="E61" s="55"/>
      <c r="F61" s="55"/>
      <c r="G61" s="55"/>
      <c r="H61" s="55"/>
      <c r="I61" s="129"/>
    </row>
    <row r="62" spans="2:9">
      <c r="B62" s="55"/>
      <c r="C62" s="128"/>
      <c r="D62" s="128"/>
      <c r="E62" s="55"/>
      <c r="F62" s="55"/>
      <c r="G62" s="55"/>
      <c r="H62" s="55"/>
      <c r="I62" s="129"/>
    </row>
    <row r="63" spans="2:9">
      <c r="B63" s="55"/>
      <c r="C63" s="128"/>
      <c r="D63" s="128"/>
      <c r="E63" s="55"/>
      <c r="F63" s="55"/>
      <c r="G63" s="55"/>
      <c r="H63" s="55"/>
      <c r="I63" s="129"/>
    </row>
    <row r="64" spans="2:9" ht="13.5" thickBot="1">
      <c r="B64" s="55"/>
      <c r="C64" s="128"/>
      <c r="D64" s="128"/>
      <c r="E64" s="55"/>
      <c r="F64" s="55"/>
      <c r="G64" s="55"/>
      <c r="H64" s="55"/>
      <c r="I64" s="129"/>
    </row>
    <row r="65" spans="2:10" s="127" customFormat="1" ht="30" customHeight="1">
      <c r="B65" s="201" t="s">
        <v>55</v>
      </c>
      <c r="C65" s="474" t="str">
        <f>'Planilha Orçamentária'!B23</f>
        <v>1.3</v>
      </c>
      <c r="D65" s="724" t="s">
        <v>56</v>
      </c>
      <c r="E65" s="724"/>
      <c r="F65" s="724"/>
      <c r="G65" s="724"/>
      <c r="H65" s="724"/>
      <c r="I65" s="724"/>
    </row>
    <row r="66" spans="2:10" s="127" customFormat="1" ht="30" customHeight="1">
      <c r="B66" s="640" t="s">
        <v>332</v>
      </c>
      <c r="C66" s="641"/>
      <c r="D66" s="641"/>
      <c r="E66" s="641"/>
      <c r="F66" s="641"/>
      <c r="G66" s="642"/>
      <c r="H66" s="643" t="s">
        <v>700</v>
      </c>
      <c r="I66" s="644"/>
    </row>
    <row r="67" spans="2:10" s="127" customFormat="1" ht="30" customHeight="1">
      <c r="B67" s="725" t="s">
        <v>647</v>
      </c>
      <c r="C67" s="725"/>
      <c r="D67" s="725"/>
      <c r="E67" s="725"/>
      <c r="F67" s="725"/>
      <c r="G67" s="725"/>
      <c r="H67" s="60" t="s">
        <v>57</v>
      </c>
      <c r="I67" s="61" t="s">
        <v>85</v>
      </c>
    </row>
    <row r="68" spans="2:10" s="127" customFormat="1" ht="30" customHeight="1">
      <c r="B68" s="704" t="s">
        <v>58</v>
      </c>
      <c r="C68" s="704"/>
      <c r="D68" s="704"/>
      <c r="E68" s="704"/>
      <c r="F68" s="704"/>
      <c r="G68" s="704"/>
      <c r="H68" s="704"/>
      <c r="I68" s="704"/>
    </row>
    <row r="69" spans="2:10" ht="25.5">
      <c r="B69" s="149" t="s">
        <v>59</v>
      </c>
      <c r="C69" s="71" t="s">
        <v>5</v>
      </c>
      <c r="D69" s="47" t="s">
        <v>6</v>
      </c>
      <c r="E69" s="47" t="s">
        <v>61</v>
      </c>
      <c r="F69" s="47" t="s">
        <v>62</v>
      </c>
      <c r="G69" s="36" t="s">
        <v>63</v>
      </c>
      <c r="H69" s="36" t="s">
        <v>64</v>
      </c>
      <c r="I69" s="90" t="s">
        <v>65</v>
      </c>
    </row>
    <row r="70" spans="2:10" ht="12.95" customHeight="1">
      <c r="B70" s="38"/>
      <c r="C70" s="39"/>
      <c r="D70" s="140"/>
      <c r="E70" s="40"/>
      <c r="F70" s="40"/>
      <c r="G70" s="58"/>
      <c r="H70" s="40"/>
      <c r="I70" s="100"/>
    </row>
    <row r="71" spans="2:10" ht="12.75" customHeight="1">
      <c r="B71" s="731" t="s">
        <v>69</v>
      </c>
      <c r="C71" s="731"/>
      <c r="D71" s="731"/>
      <c r="E71" s="731"/>
      <c r="F71" s="731"/>
      <c r="G71" s="731"/>
      <c r="H71" s="731"/>
      <c r="I71" s="92">
        <f>SUM(I70:I70)</f>
        <v>0</v>
      </c>
    </row>
    <row r="72" spans="2:10" s="127" customFormat="1" ht="30" customHeight="1">
      <c r="B72" s="729" t="s">
        <v>70</v>
      </c>
      <c r="C72" s="729"/>
      <c r="D72" s="729"/>
      <c r="E72" s="729"/>
      <c r="F72" s="729"/>
      <c r="G72" s="729"/>
      <c r="H72" s="729"/>
      <c r="I72" s="729"/>
    </row>
    <row r="73" spans="2:10">
      <c r="B73" s="62" t="s">
        <v>59</v>
      </c>
      <c r="C73" s="57" t="s">
        <v>5</v>
      </c>
      <c r="D73" s="57" t="s">
        <v>6</v>
      </c>
      <c r="E73" s="63"/>
      <c r="F73" s="63"/>
      <c r="G73" s="63"/>
      <c r="H73" s="57" t="s">
        <v>71</v>
      </c>
      <c r="I73" s="64" t="s">
        <v>65</v>
      </c>
    </row>
    <row r="74" spans="2:10" ht="16.5" customHeight="1">
      <c r="B74" s="150" t="s">
        <v>86</v>
      </c>
      <c r="C74" s="65" t="s">
        <v>27</v>
      </c>
      <c r="D74" s="151">
        <v>5</v>
      </c>
      <c r="E74" s="74"/>
      <c r="F74" s="74"/>
      <c r="G74" s="74"/>
      <c r="H74" s="75">
        <f>INSUMOS!E87</f>
        <v>5.26</v>
      </c>
      <c r="I74" s="152">
        <f>D74*H74</f>
        <v>26.3</v>
      </c>
      <c r="J74" s="51"/>
    </row>
    <row r="75" spans="2:10" ht="15" customHeight="1">
      <c r="B75" s="153" t="s">
        <v>87</v>
      </c>
      <c r="C75" s="68" t="s">
        <v>88</v>
      </c>
      <c r="D75" s="83">
        <v>0.11</v>
      </c>
      <c r="E75" s="154"/>
      <c r="F75" s="74"/>
      <c r="G75" s="74"/>
      <c r="H75" s="75">
        <f>INSUMOS!E34</f>
        <v>6.51</v>
      </c>
      <c r="I75" s="152">
        <f>H75*D75</f>
        <v>0.72</v>
      </c>
      <c r="J75" s="51"/>
    </row>
    <row r="76" spans="2:10" ht="16.5" customHeight="1">
      <c r="B76" s="155" t="s">
        <v>687</v>
      </c>
      <c r="C76" s="71" t="s">
        <v>27</v>
      </c>
      <c r="D76" s="71">
        <v>1</v>
      </c>
      <c r="E76" s="156"/>
      <c r="F76" s="70"/>
      <c r="G76" s="70"/>
      <c r="H76" s="75">
        <f>INSUMOS!E88</f>
        <v>2.7</v>
      </c>
      <c r="I76" s="152">
        <f>D76*H76</f>
        <v>2.7</v>
      </c>
    </row>
    <row r="77" spans="2:10" ht="15" customHeight="1">
      <c r="B77" s="157" t="s">
        <v>89</v>
      </c>
      <c r="C77" s="158" t="s">
        <v>85</v>
      </c>
      <c r="D77" s="159">
        <v>1</v>
      </c>
      <c r="E77" s="70"/>
      <c r="F77" s="70"/>
      <c r="G77" s="70"/>
      <c r="H77" s="75">
        <f>INSUMOS!E150</f>
        <v>225.6</v>
      </c>
      <c r="I77" s="152">
        <f>D77*H77</f>
        <v>225.6</v>
      </c>
    </row>
    <row r="78" spans="2:10">
      <c r="B78" s="727" t="s">
        <v>69</v>
      </c>
      <c r="C78" s="727"/>
      <c r="D78" s="727"/>
      <c r="E78" s="727"/>
      <c r="F78" s="727"/>
      <c r="G78" s="727"/>
      <c r="H78" s="727"/>
      <c r="I78" s="64">
        <f>SUM(I74:I77)</f>
        <v>255.32</v>
      </c>
    </row>
    <row r="79" spans="2:10" s="127" customFormat="1" ht="30" customHeight="1">
      <c r="B79" s="729" t="s">
        <v>72</v>
      </c>
      <c r="C79" s="729"/>
      <c r="D79" s="729"/>
      <c r="E79" s="729"/>
      <c r="F79" s="729"/>
      <c r="G79" s="729"/>
      <c r="H79" s="729"/>
      <c r="I79" s="729"/>
    </row>
    <row r="80" spans="2:10">
      <c r="B80" s="69" t="s">
        <v>59</v>
      </c>
      <c r="C80" s="57" t="s">
        <v>5</v>
      </c>
      <c r="D80" s="71" t="s">
        <v>6</v>
      </c>
      <c r="E80" s="70"/>
      <c r="F80" s="70"/>
      <c r="G80" s="70"/>
      <c r="H80" s="71" t="s">
        <v>71</v>
      </c>
      <c r="I80" s="64" t="s">
        <v>65</v>
      </c>
    </row>
    <row r="81" spans="2:10">
      <c r="B81" s="72"/>
      <c r="C81" s="73"/>
      <c r="D81" s="141"/>
      <c r="E81" s="74"/>
      <c r="F81" s="74"/>
      <c r="G81" s="74"/>
      <c r="H81" s="83"/>
      <c r="I81" s="132">
        <f>D81*H81</f>
        <v>0</v>
      </c>
      <c r="J81" s="51"/>
    </row>
    <row r="82" spans="2:10">
      <c r="B82" s="727" t="s">
        <v>69</v>
      </c>
      <c r="C82" s="727"/>
      <c r="D82" s="727"/>
      <c r="E82" s="727"/>
      <c r="F82" s="727"/>
      <c r="G82" s="727"/>
      <c r="H82" s="727"/>
      <c r="I82" s="64">
        <f>I81</f>
        <v>0</v>
      </c>
    </row>
    <row r="83" spans="2:10" s="127" customFormat="1" ht="30" customHeight="1">
      <c r="B83" s="729" t="s">
        <v>74</v>
      </c>
      <c r="C83" s="729"/>
      <c r="D83" s="729"/>
      <c r="E83" s="729"/>
      <c r="F83" s="729"/>
      <c r="G83" s="729"/>
      <c r="H83" s="729"/>
      <c r="I83" s="729"/>
    </row>
    <row r="84" spans="2:10">
      <c r="B84" s="76" t="s">
        <v>59</v>
      </c>
      <c r="C84" s="57" t="s">
        <v>5</v>
      </c>
      <c r="D84" s="57" t="s">
        <v>6</v>
      </c>
      <c r="E84" s="63"/>
      <c r="F84" s="63"/>
      <c r="G84" s="63"/>
      <c r="H84" s="57" t="s">
        <v>71</v>
      </c>
      <c r="I84" s="64" t="s">
        <v>65</v>
      </c>
    </row>
    <row r="85" spans="2:10">
      <c r="B85" s="77" t="s">
        <v>90</v>
      </c>
      <c r="C85" s="57" t="s">
        <v>67</v>
      </c>
      <c r="D85" s="57">
        <v>1</v>
      </c>
      <c r="E85" s="63"/>
      <c r="F85" s="63"/>
      <c r="G85" s="63"/>
      <c r="H85" s="67">
        <f>INSUMOS!E18</f>
        <v>4.55</v>
      </c>
      <c r="I85" s="132">
        <f>D85*H85</f>
        <v>4.55</v>
      </c>
    </row>
    <row r="86" spans="2:10">
      <c r="B86" s="77" t="s">
        <v>75</v>
      </c>
      <c r="C86" s="57" t="s">
        <v>67</v>
      </c>
      <c r="D86" s="73">
        <v>2</v>
      </c>
      <c r="E86" s="73"/>
      <c r="F86" s="66"/>
      <c r="G86" s="66"/>
      <c r="H86" s="67">
        <f>INSUMOS!E14</f>
        <v>3.42</v>
      </c>
      <c r="I86" s="132">
        <f>D86*H86</f>
        <v>6.84</v>
      </c>
    </row>
    <row r="87" spans="2:10">
      <c r="B87" s="635" t="s">
        <v>576</v>
      </c>
      <c r="C87" s="635"/>
      <c r="D87" s="635"/>
      <c r="E87" s="635"/>
      <c r="F87" s="635"/>
      <c r="G87" s="635"/>
      <c r="H87" s="635"/>
      <c r="I87" s="90">
        <f>SUM(I85:I86)*0.9103</f>
        <v>10.37</v>
      </c>
    </row>
    <row r="88" spans="2:10">
      <c r="B88" s="727" t="s">
        <v>69</v>
      </c>
      <c r="C88" s="727"/>
      <c r="D88" s="727"/>
      <c r="E88" s="727"/>
      <c r="F88" s="727"/>
      <c r="G88" s="727"/>
      <c r="H88" s="727"/>
      <c r="I88" s="131">
        <f>SUM(I85:I87)</f>
        <v>21.76</v>
      </c>
    </row>
    <row r="89" spans="2:10">
      <c r="B89" s="147" t="s">
        <v>76</v>
      </c>
      <c r="C89" s="148">
        <v>1</v>
      </c>
      <c r="D89" s="636" t="s">
        <v>77</v>
      </c>
      <c r="E89" s="637"/>
      <c r="F89" s="637"/>
      <c r="G89" s="637"/>
      <c r="H89" s="638"/>
      <c r="I89" s="92">
        <f>I88+I82+I78+I71</f>
        <v>277.08</v>
      </c>
    </row>
    <row r="90" spans="2:10">
      <c r="B90" s="632"/>
      <c r="C90" s="633"/>
      <c r="D90" s="633"/>
      <c r="E90" s="633"/>
      <c r="F90" s="633"/>
      <c r="G90" s="633"/>
      <c r="H90" s="634"/>
      <c r="I90" s="92">
        <f>I89/C89</f>
        <v>277.08</v>
      </c>
    </row>
    <row r="91" spans="2:10" ht="12.75" customHeight="1">
      <c r="B91" s="139" t="s">
        <v>334</v>
      </c>
      <c r="C91" s="145">
        <f>BDI!C37</f>
        <v>24.5</v>
      </c>
      <c r="D91" s="146" t="s">
        <v>269</v>
      </c>
      <c r="E91" s="136"/>
      <c r="F91" s="136"/>
      <c r="G91" s="136"/>
      <c r="H91" s="137"/>
      <c r="I91" s="90">
        <f>C91/100*I90</f>
        <v>67.88</v>
      </c>
    </row>
    <row r="92" spans="2:10" s="127" customFormat="1" ht="30" customHeight="1" thickBot="1">
      <c r="B92" s="728" t="s">
        <v>78</v>
      </c>
      <c r="C92" s="728"/>
      <c r="D92" s="728"/>
      <c r="E92" s="728"/>
      <c r="F92" s="728"/>
      <c r="G92" s="728"/>
      <c r="H92" s="728"/>
      <c r="I92" s="135">
        <f>SUM(I90:I91)</f>
        <v>344.96</v>
      </c>
    </row>
    <row r="93" spans="2:10">
      <c r="B93" s="55"/>
      <c r="C93" s="128"/>
      <c r="D93" s="128"/>
      <c r="E93" s="55"/>
      <c r="F93" s="55"/>
      <c r="G93" s="55"/>
      <c r="H93" s="55"/>
      <c r="I93" s="129"/>
    </row>
    <row r="94" spans="2:10">
      <c r="B94" s="55"/>
      <c r="C94" s="128"/>
      <c r="D94" s="128"/>
      <c r="E94" s="55"/>
      <c r="F94" s="55"/>
      <c r="G94" s="55"/>
      <c r="H94" s="55"/>
      <c r="I94" s="129"/>
    </row>
    <row r="95" spans="2:10">
      <c r="B95" s="55"/>
      <c r="C95" s="128"/>
      <c r="D95" s="128"/>
      <c r="E95" s="55"/>
      <c r="F95" s="55"/>
      <c r="G95" s="55"/>
      <c r="H95" s="55"/>
      <c r="I95" s="129"/>
    </row>
    <row r="96" spans="2:10">
      <c r="B96" s="55"/>
      <c r="C96" s="128"/>
      <c r="D96" s="128"/>
      <c r="E96" s="55"/>
      <c r="F96" s="55"/>
      <c r="G96" s="55"/>
      <c r="H96" s="55"/>
      <c r="I96" s="129"/>
    </row>
    <row r="97" spans="2:10">
      <c r="B97" s="55"/>
      <c r="C97" s="128"/>
      <c r="D97" s="128"/>
      <c r="E97" s="55"/>
      <c r="F97" s="55"/>
      <c r="G97" s="55"/>
      <c r="H97" s="55"/>
      <c r="I97" s="129"/>
    </row>
    <row r="98" spans="2:10">
      <c r="B98" s="55"/>
      <c r="C98" s="128"/>
      <c r="D98" s="128"/>
      <c r="E98" s="55"/>
      <c r="F98" s="55"/>
      <c r="G98" s="55"/>
      <c r="H98" s="55"/>
      <c r="I98" s="129"/>
    </row>
    <row r="99" spans="2:10" ht="13.5" thickBot="1"/>
    <row r="100" spans="2:10" s="127" customFormat="1" ht="30" customHeight="1">
      <c r="B100" s="200" t="s">
        <v>55</v>
      </c>
      <c r="C100" s="474" t="str">
        <f>'Planilha Orçamentária'!B25</f>
        <v>1.5</v>
      </c>
      <c r="D100" s="639" t="s">
        <v>56</v>
      </c>
      <c r="E100" s="639"/>
      <c r="F100" s="639"/>
      <c r="G100" s="639"/>
      <c r="H100" s="639"/>
      <c r="I100" s="639"/>
    </row>
    <row r="101" spans="2:10" s="127" customFormat="1" ht="30" customHeight="1">
      <c r="B101" s="640" t="s">
        <v>332</v>
      </c>
      <c r="C101" s="641"/>
      <c r="D101" s="641"/>
      <c r="E101" s="641"/>
      <c r="F101" s="641"/>
      <c r="G101" s="642"/>
      <c r="H101" s="643" t="s">
        <v>700</v>
      </c>
      <c r="I101" s="644"/>
    </row>
    <row r="102" spans="2:10" s="127" customFormat="1" ht="30" customHeight="1">
      <c r="B102" s="625" t="s">
        <v>604</v>
      </c>
      <c r="C102" s="625"/>
      <c r="D102" s="625"/>
      <c r="E102" s="625"/>
      <c r="F102" s="625"/>
      <c r="G102" s="625"/>
      <c r="H102" s="34" t="s">
        <v>57</v>
      </c>
      <c r="I102" s="126" t="s">
        <v>19</v>
      </c>
    </row>
    <row r="103" spans="2:10" s="127" customFormat="1" ht="30" customHeight="1">
      <c r="B103" s="704" t="s">
        <v>58</v>
      </c>
      <c r="C103" s="704"/>
      <c r="D103" s="704"/>
      <c r="E103" s="704"/>
      <c r="F103" s="704"/>
      <c r="G103" s="704"/>
      <c r="H103" s="704"/>
      <c r="I103" s="704"/>
    </row>
    <row r="104" spans="2:10" ht="25.5">
      <c r="B104" s="149" t="s">
        <v>59</v>
      </c>
      <c r="C104" s="71" t="s">
        <v>5</v>
      </c>
      <c r="D104" s="47" t="s">
        <v>6</v>
      </c>
      <c r="E104" s="47" t="s">
        <v>61</v>
      </c>
      <c r="F104" s="47" t="s">
        <v>62</v>
      </c>
      <c r="G104" s="36" t="s">
        <v>63</v>
      </c>
      <c r="H104" s="36" t="s">
        <v>64</v>
      </c>
      <c r="I104" s="90" t="s">
        <v>65</v>
      </c>
    </row>
    <row r="105" spans="2:10" ht="15" customHeight="1">
      <c r="B105" s="99" t="s">
        <v>337</v>
      </c>
      <c r="C105" s="85" t="s">
        <v>19</v>
      </c>
      <c r="D105" s="86">
        <v>0.5</v>
      </c>
      <c r="E105" s="49">
        <v>1</v>
      </c>
      <c r="F105" s="49"/>
      <c r="G105" s="56">
        <f>Veiculo!D46</f>
        <v>2333.06</v>
      </c>
      <c r="H105" s="49"/>
      <c r="I105" s="87">
        <f>D105*E105*G105+D105*F105*H105</f>
        <v>1166.53</v>
      </c>
    </row>
    <row r="106" spans="2:10" ht="15" customHeight="1">
      <c r="B106" s="731" t="s">
        <v>69</v>
      </c>
      <c r="C106" s="731"/>
      <c r="D106" s="731"/>
      <c r="E106" s="731"/>
      <c r="F106" s="731"/>
      <c r="G106" s="731"/>
      <c r="H106" s="731"/>
      <c r="I106" s="92">
        <f>SUM(I105:I105)</f>
        <v>1166.53</v>
      </c>
    </row>
    <row r="107" spans="2:10" s="127" customFormat="1" ht="30" customHeight="1">
      <c r="B107" s="704" t="s">
        <v>70</v>
      </c>
      <c r="C107" s="704"/>
      <c r="D107" s="704"/>
      <c r="E107" s="704"/>
      <c r="F107" s="704"/>
      <c r="G107" s="704"/>
      <c r="H107" s="704"/>
      <c r="I107" s="704"/>
    </row>
    <row r="108" spans="2:10" s="127" customFormat="1" ht="15" customHeight="1">
      <c r="B108" s="149" t="s">
        <v>59</v>
      </c>
      <c r="C108" s="71" t="s">
        <v>5</v>
      </c>
      <c r="D108" s="47" t="s">
        <v>6</v>
      </c>
      <c r="E108" s="46"/>
      <c r="F108" s="46"/>
      <c r="G108" s="46"/>
      <c r="H108" s="47" t="s">
        <v>71</v>
      </c>
      <c r="I108" s="90" t="s">
        <v>65</v>
      </c>
    </row>
    <row r="109" spans="2:10" s="127" customFormat="1" ht="15" customHeight="1">
      <c r="B109" s="262" t="s">
        <v>80</v>
      </c>
      <c r="C109" s="145" t="s">
        <v>379</v>
      </c>
      <c r="D109" s="49">
        <v>0.25</v>
      </c>
      <c r="E109" s="50"/>
      <c r="F109" s="50"/>
      <c r="G109" s="50"/>
      <c r="H109" s="56">
        <f>INSUMOS!E106</f>
        <v>8.83</v>
      </c>
      <c r="I109" s="87">
        <f>H109*D109</f>
        <v>2.21</v>
      </c>
      <c r="J109" s="263"/>
    </row>
    <row r="110" spans="2:10" s="127" customFormat="1" ht="15" customHeight="1">
      <c r="B110" s="262" t="s">
        <v>81</v>
      </c>
      <c r="C110" s="145" t="s">
        <v>379</v>
      </c>
      <c r="D110" s="49">
        <v>0.25</v>
      </c>
      <c r="E110" s="50"/>
      <c r="F110" s="50"/>
      <c r="G110" s="50"/>
      <c r="H110" s="56">
        <f>INSUMOS!E107</f>
        <v>25.05</v>
      </c>
      <c r="I110" s="87">
        <f>H110*D110</f>
        <v>6.26</v>
      </c>
      <c r="J110" s="263"/>
    </row>
    <row r="111" spans="2:10" s="127" customFormat="1" ht="15" customHeight="1">
      <c r="B111" s="262" t="s">
        <v>82</v>
      </c>
      <c r="C111" s="145" t="s">
        <v>379</v>
      </c>
      <c r="D111" s="49">
        <v>0.25</v>
      </c>
      <c r="E111" s="50"/>
      <c r="F111" s="50"/>
      <c r="G111" s="50"/>
      <c r="H111" s="56">
        <f>INSUMOS!E108</f>
        <v>6.7</v>
      </c>
      <c r="I111" s="87">
        <f>H111*D111</f>
        <v>1.68</v>
      </c>
      <c r="J111" s="263"/>
    </row>
    <row r="112" spans="2:10" s="127" customFormat="1" ht="15" customHeight="1">
      <c r="B112" s="262" t="s">
        <v>83</v>
      </c>
      <c r="C112" s="145" t="s">
        <v>379</v>
      </c>
      <c r="D112" s="49">
        <v>0.25</v>
      </c>
      <c r="E112" s="50"/>
      <c r="F112" s="50"/>
      <c r="G112" s="50"/>
      <c r="H112" s="56">
        <f>INSUMOS!E109</f>
        <v>0.9</v>
      </c>
      <c r="I112" s="87">
        <f>H112*D112</f>
        <v>0.23</v>
      </c>
      <c r="J112" s="263"/>
    </row>
    <row r="113" spans="2:9" s="127" customFormat="1" ht="15" customHeight="1">
      <c r="B113" s="628" t="s">
        <v>69</v>
      </c>
      <c r="C113" s="628"/>
      <c r="D113" s="628"/>
      <c r="E113" s="628"/>
      <c r="F113" s="628"/>
      <c r="G113" s="628"/>
      <c r="H113" s="628"/>
      <c r="I113" s="90">
        <f>SUM(I109:I112)</f>
        <v>10.38</v>
      </c>
    </row>
    <row r="114" spans="2:9" s="127" customFormat="1" ht="30" customHeight="1">
      <c r="B114" s="704" t="s">
        <v>72</v>
      </c>
      <c r="C114" s="704"/>
      <c r="D114" s="704"/>
      <c r="E114" s="704"/>
      <c r="F114" s="704"/>
      <c r="G114" s="704"/>
      <c r="H114" s="704"/>
      <c r="I114" s="704"/>
    </row>
    <row r="115" spans="2:9" ht="14.1" customHeight="1">
      <c r="B115" s="45" t="s">
        <v>59</v>
      </c>
      <c r="C115" s="57" t="s">
        <v>5</v>
      </c>
      <c r="D115" s="47" t="s">
        <v>6</v>
      </c>
      <c r="E115" s="46"/>
      <c r="F115" s="46"/>
      <c r="G115" s="46"/>
      <c r="H115" s="47" t="s">
        <v>71</v>
      </c>
      <c r="I115" s="43" t="s">
        <v>65</v>
      </c>
    </row>
    <row r="116" spans="2:9" ht="14.1" customHeight="1">
      <c r="B116" s="48"/>
      <c r="C116" s="47"/>
      <c r="D116" s="47"/>
      <c r="E116" s="46"/>
      <c r="F116" s="46"/>
      <c r="G116" s="46"/>
      <c r="H116" s="47"/>
      <c r="I116" s="43">
        <f>D116*H116</f>
        <v>0</v>
      </c>
    </row>
    <row r="117" spans="2:9" ht="14.1" customHeight="1">
      <c r="B117" s="628" t="s">
        <v>69</v>
      </c>
      <c r="C117" s="628"/>
      <c r="D117" s="628"/>
      <c r="E117" s="628"/>
      <c r="F117" s="628"/>
      <c r="G117" s="628"/>
      <c r="H117" s="628"/>
      <c r="I117" s="43">
        <f>SUM(I116:I116)</f>
        <v>0</v>
      </c>
    </row>
    <row r="118" spans="2:9" s="127" customFormat="1" ht="30" customHeight="1">
      <c r="B118" s="704" t="s">
        <v>74</v>
      </c>
      <c r="C118" s="704"/>
      <c r="D118" s="704"/>
      <c r="E118" s="704"/>
      <c r="F118" s="704"/>
      <c r="G118" s="704"/>
      <c r="H118" s="704"/>
      <c r="I118" s="704"/>
    </row>
    <row r="119" spans="2:9" ht="15" customHeight="1">
      <c r="B119" s="149" t="s">
        <v>59</v>
      </c>
      <c r="C119" s="71" t="s">
        <v>5</v>
      </c>
      <c r="D119" s="47" t="s">
        <v>6</v>
      </c>
      <c r="E119" s="46"/>
      <c r="F119" s="46"/>
      <c r="G119" s="46"/>
      <c r="H119" s="47" t="s">
        <v>71</v>
      </c>
      <c r="I119" s="90" t="s">
        <v>65</v>
      </c>
    </row>
    <row r="120" spans="2:9" ht="15" customHeight="1">
      <c r="B120" s="91" t="s">
        <v>95</v>
      </c>
      <c r="C120" s="47" t="s">
        <v>67</v>
      </c>
      <c r="D120" s="47">
        <v>32</v>
      </c>
      <c r="E120" s="46"/>
      <c r="F120" s="46"/>
      <c r="G120" s="46"/>
      <c r="H120" s="56">
        <f>INSUMOS!E12</f>
        <v>25.43</v>
      </c>
      <c r="I120" s="87">
        <f>D120*H120</f>
        <v>813.76</v>
      </c>
    </row>
    <row r="121" spans="2:9" ht="15" customHeight="1">
      <c r="B121" s="91" t="s">
        <v>84</v>
      </c>
      <c r="C121" s="47" t="s">
        <v>67</v>
      </c>
      <c r="D121" s="47">
        <v>32</v>
      </c>
      <c r="E121" s="46"/>
      <c r="F121" s="46"/>
      <c r="G121" s="46"/>
      <c r="H121" s="56">
        <f>INSUMOS!E16</f>
        <v>8.98</v>
      </c>
      <c r="I121" s="87">
        <f>D121*H121</f>
        <v>287.36</v>
      </c>
    </row>
    <row r="122" spans="2:9" ht="15" customHeight="1">
      <c r="B122" s="635" t="s">
        <v>576</v>
      </c>
      <c r="C122" s="635"/>
      <c r="D122" s="635"/>
      <c r="E122" s="635"/>
      <c r="F122" s="635"/>
      <c r="G122" s="635"/>
      <c r="H122" s="635"/>
      <c r="I122" s="90">
        <f>SUM(I120:I121)*0.9103</f>
        <v>1002.35</v>
      </c>
    </row>
    <row r="123" spans="2:9" ht="15" customHeight="1">
      <c r="B123" s="628" t="s">
        <v>69</v>
      </c>
      <c r="C123" s="628"/>
      <c r="D123" s="628"/>
      <c r="E123" s="628"/>
      <c r="F123" s="628"/>
      <c r="G123" s="628"/>
      <c r="H123" s="628"/>
      <c r="I123" s="95">
        <f>SUM(I120:I122)</f>
        <v>2103.4699999999998</v>
      </c>
    </row>
    <row r="124" spans="2:9" ht="15" customHeight="1">
      <c r="B124" s="147" t="s">
        <v>76</v>
      </c>
      <c r="C124" s="148">
        <v>1</v>
      </c>
      <c r="D124" s="676" t="s">
        <v>77</v>
      </c>
      <c r="E124" s="676"/>
      <c r="F124" s="676"/>
      <c r="G124" s="676"/>
      <c r="H124" s="676"/>
      <c r="I124" s="95">
        <f>I123+I117+I113+I106</f>
        <v>3280.38</v>
      </c>
    </row>
    <row r="125" spans="2:9" ht="15" customHeight="1">
      <c r="B125" s="677"/>
      <c r="C125" s="678"/>
      <c r="D125" s="678"/>
      <c r="E125" s="678"/>
      <c r="F125" s="678"/>
      <c r="G125" s="678"/>
      <c r="H125" s="679"/>
      <c r="I125" s="95">
        <f>I124/C124</f>
        <v>3280.38</v>
      </c>
    </row>
    <row r="126" spans="2:9" ht="15" customHeight="1">
      <c r="B126" s="139" t="s">
        <v>334</v>
      </c>
      <c r="C126" s="145">
        <f>BDI!C37</f>
        <v>24.5</v>
      </c>
      <c r="D126" s="146" t="s">
        <v>269</v>
      </c>
      <c r="E126" s="136"/>
      <c r="F126" s="136"/>
      <c r="G126" s="136"/>
      <c r="H126" s="137"/>
      <c r="I126" s="90">
        <f>C126/100*I125</f>
        <v>803.69</v>
      </c>
    </row>
    <row r="127" spans="2:9" s="127" customFormat="1" ht="30" customHeight="1" thickBot="1">
      <c r="B127" s="627" t="s">
        <v>78</v>
      </c>
      <c r="C127" s="627"/>
      <c r="D127" s="627"/>
      <c r="E127" s="627"/>
      <c r="F127" s="627"/>
      <c r="G127" s="627"/>
      <c r="H127" s="627"/>
      <c r="I127" s="135">
        <f>SUM(I125:I126)</f>
        <v>4084.07</v>
      </c>
    </row>
    <row r="128" spans="2:9" ht="15.75" customHeight="1"/>
    <row r="129" spans="2:10" ht="15.75" customHeight="1"/>
    <row r="130" spans="2:10" ht="15.75" customHeight="1"/>
    <row r="131" spans="2:10" ht="15.75" customHeight="1"/>
    <row r="132" spans="2:10" ht="15.75" customHeight="1"/>
    <row r="133" spans="2:10" ht="13.5" thickBot="1"/>
    <row r="134" spans="2:10" s="127" customFormat="1" ht="30" customHeight="1">
      <c r="B134" s="200" t="s">
        <v>55</v>
      </c>
      <c r="C134" s="474" t="str">
        <f>'Planilha Orçamentária'!B27</f>
        <v>2.1</v>
      </c>
      <c r="D134" s="639" t="s">
        <v>56</v>
      </c>
      <c r="E134" s="639"/>
      <c r="F134" s="639"/>
      <c r="G134" s="639"/>
      <c r="H134" s="639"/>
      <c r="I134" s="639"/>
    </row>
    <row r="135" spans="2:10" s="127" customFormat="1" ht="30" customHeight="1">
      <c r="B135" s="640" t="s">
        <v>332</v>
      </c>
      <c r="C135" s="641"/>
      <c r="D135" s="641"/>
      <c r="E135" s="641"/>
      <c r="F135" s="641"/>
      <c r="G135" s="642"/>
      <c r="H135" s="643" t="s">
        <v>700</v>
      </c>
      <c r="I135" s="644"/>
    </row>
    <row r="136" spans="2:10" s="127" customFormat="1" ht="30" customHeight="1">
      <c r="B136" s="625" t="s">
        <v>92</v>
      </c>
      <c r="C136" s="625"/>
      <c r="D136" s="625"/>
      <c r="E136" s="625"/>
      <c r="F136" s="625"/>
      <c r="G136" s="625"/>
      <c r="H136" s="34" t="s">
        <v>57</v>
      </c>
      <c r="I136" s="126" t="s">
        <v>379</v>
      </c>
    </row>
    <row r="137" spans="2:10" s="127" customFormat="1" ht="30" customHeight="1">
      <c r="B137" s="704" t="s">
        <v>58</v>
      </c>
      <c r="C137" s="704"/>
      <c r="D137" s="704"/>
      <c r="E137" s="704"/>
      <c r="F137" s="704"/>
      <c r="G137" s="704"/>
      <c r="H137" s="704"/>
      <c r="I137" s="704"/>
    </row>
    <row r="138" spans="2:10" ht="25.5">
      <c r="B138" s="149" t="s">
        <v>59</v>
      </c>
      <c r="C138" s="71" t="s">
        <v>5</v>
      </c>
      <c r="D138" s="47" t="s">
        <v>6</v>
      </c>
      <c r="E138" s="47" t="s">
        <v>61</v>
      </c>
      <c r="F138" s="47" t="s">
        <v>62</v>
      </c>
      <c r="G138" s="36" t="s">
        <v>63</v>
      </c>
      <c r="H138" s="36" t="s">
        <v>64</v>
      </c>
      <c r="I138" s="90" t="s">
        <v>65</v>
      </c>
    </row>
    <row r="139" spans="2:10" ht="15.95" customHeight="1">
      <c r="B139" s="124" t="s">
        <v>391</v>
      </c>
      <c r="C139" s="85" t="s">
        <v>67</v>
      </c>
      <c r="D139" s="86">
        <v>5</v>
      </c>
      <c r="E139" s="49">
        <v>1</v>
      </c>
      <c r="F139" s="49"/>
      <c r="G139" s="56">
        <f>INSUMOS!E100</f>
        <v>3.17</v>
      </c>
      <c r="H139" s="49"/>
      <c r="I139" s="87">
        <f>D139*E139*G139+D139*F139*H139</f>
        <v>15.85</v>
      </c>
      <c r="J139" s="51"/>
    </row>
    <row r="140" spans="2:10" ht="15.95" customHeight="1">
      <c r="B140" s="38" t="s">
        <v>68</v>
      </c>
      <c r="C140" s="39" t="s">
        <v>67</v>
      </c>
      <c r="D140" s="39">
        <v>5</v>
      </c>
      <c r="E140" s="40">
        <v>1</v>
      </c>
      <c r="F140" s="40"/>
      <c r="G140" s="56">
        <f>INSUMOS!E86</f>
        <v>8.27</v>
      </c>
      <c r="H140" s="47"/>
      <c r="I140" s="87">
        <f>D140*E140*G140+D140*F140*H140</f>
        <v>41.35</v>
      </c>
    </row>
    <row r="141" spans="2:10" ht="15.95" customHeight="1">
      <c r="B141" s="731" t="s">
        <v>69</v>
      </c>
      <c r="C141" s="731"/>
      <c r="D141" s="731"/>
      <c r="E141" s="731"/>
      <c r="F141" s="731"/>
      <c r="G141" s="731"/>
      <c r="H141" s="731"/>
      <c r="I141" s="95">
        <f>SUM(I139:I140)</f>
        <v>57.2</v>
      </c>
    </row>
    <row r="142" spans="2:10" s="127" customFormat="1" ht="30" customHeight="1">
      <c r="B142" s="704" t="s">
        <v>70</v>
      </c>
      <c r="C142" s="704"/>
      <c r="D142" s="704"/>
      <c r="E142" s="704"/>
      <c r="F142" s="704"/>
      <c r="G142" s="704"/>
      <c r="H142" s="704"/>
      <c r="I142" s="704"/>
    </row>
    <row r="143" spans="2:10" ht="15.95" customHeight="1">
      <c r="B143" s="41" t="s">
        <v>59</v>
      </c>
      <c r="C143" s="57" t="s">
        <v>5</v>
      </c>
      <c r="D143" s="40" t="s">
        <v>6</v>
      </c>
      <c r="E143" s="42"/>
      <c r="F143" s="42"/>
      <c r="G143" s="42"/>
      <c r="H143" s="40" t="s">
        <v>71</v>
      </c>
      <c r="I143" s="43" t="s">
        <v>65</v>
      </c>
    </row>
    <row r="144" spans="2:10" ht="15.95" customHeight="1">
      <c r="B144" s="38" t="s">
        <v>93</v>
      </c>
      <c r="C144" s="88" t="s">
        <v>94</v>
      </c>
      <c r="D144" s="89">
        <v>60</v>
      </c>
      <c r="E144" s="47"/>
      <c r="F144" s="47"/>
      <c r="G144" s="49"/>
      <c r="H144" s="56">
        <f>INSUMOS!E131</f>
        <v>2.78</v>
      </c>
      <c r="I144" s="87">
        <f>H144*D144</f>
        <v>166.8</v>
      </c>
    </row>
    <row r="145" spans="2:9" ht="15.95" customHeight="1">
      <c r="B145" s="628" t="s">
        <v>69</v>
      </c>
      <c r="C145" s="628"/>
      <c r="D145" s="628"/>
      <c r="E145" s="628"/>
      <c r="F145" s="628"/>
      <c r="G145" s="628"/>
      <c r="H145" s="628"/>
      <c r="I145" s="90">
        <f>SUM(I144:I144)</f>
        <v>166.8</v>
      </c>
    </row>
    <row r="146" spans="2:9" s="127" customFormat="1" ht="30" customHeight="1">
      <c r="B146" s="704" t="s">
        <v>72</v>
      </c>
      <c r="C146" s="704"/>
      <c r="D146" s="704"/>
      <c r="E146" s="704"/>
      <c r="F146" s="704"/>
      <c r="G146" s="704"/>
      <c r="H146" s="704"/>
      <c r="I146" s="704"/>
    </row>
    <row r="147" spans="2:9" ht="15.95" customHeight="1">
      <c r="B147" s="45" t="s">
        <v>59</v>
      </c>
      <c r="C147" s="57" t="s">
        <v>5</v>
      </c>
      <c r="D147" s="47" t="s">
        <v>6</v>
      </c>
      <c r="E147" s="46"/>
      <c r="F147" s="46"/>
      <c r="G147" s="46"/>
      <c r="H147" s="47" t="s">
        <v>71</v>
      </c>
      <c r="I147" s="43" t="s">
        <v>65</v>
      </c>
    </row>
    <row r="148" spans="2:9" ht="15.95" customHeight="1">
      <c r="B148" s="48"/>
      <c r="C148" s="47"/>
      <c r="D148" s="47"/>
      <c r="E148" s="46"/>
      <c r="F148" s="46"/>
      <c r="G148" s="46"/>
      <c r="H148" s="47"/>
      <c r="I148" s="90">
        <f>D148*H148</f>
        <v>0</v>
      </c>
    </row>
    <row r="149" spans="2:9" ht="15.95" customHeight="1">
      <c r="B149" s="628" t="s">
        <v>69</v>
      </c>
      <c r="C149" s="628"/>
      <c r="D149" s="628"/>
      <c r="E149" s="628"/>
      <c r="F149" s="628"/>
      <c r="G149" s="628"/>
      <c r="H149" s="628"/>
      <c r="I149" s="90">
        <f>SUM(I148:I148)</f>
        <v>0</v>
      </c>
    </row>
    <row r="150" spans="2:9" s="127" customFormat="1" ht="30" customHeight="1">
      <c r="B150" s="704" t="s">
        <v>74</v>
      </c>
      <c r="C150" s="704"/>
      <c r="D150" s="704"/>
      <c r="E150" s="704"/>
      <c r="F150" s="704"/>
      <c r="G150" s="704"/>
      <c r="H150" s="704"/>
      <c r="I150" s="704"/>
    </row>
    <row r="151" spans="2:9" ht="15.95" customHeight="1">
      <c r="B151" s="41" t="s">
        <v>59</v>
      </c>
      <c r="C151" s="78" t="s">
        <v>5</v>
      </c>
      <c r="D151" s="40" t="s">
        <v>6</v>
      </c>
      <c r="E151" s="42"/>
      <c r="F151" s="42"/>
      <c r="G151" s="42"/>
      <c r="H151" s="40" t="s">
        <v>71</v>
      </c>
      <c r="I151" s="43" t="s">
        <v>65</v>
      </c>
    </row>
    <row r="152" spans="2:9" ht="15.95" customHeight="1">
      <c r="B152" s="91" t="s">
        <v>95</v>
      </c>
      <c r="C152" s="57" t="s">
        <v>67</v>
      </c>
      <c r="D152" s="40">
        <v>5</v>
      </c>
      <c r="E152" s="42"/>
      <c r="F152" s="42"/>
      <c r="G152" s="42"/>
      <c r="H152" s="52">
        <f>INSUMOS!E11</f>
        <v>46.77</v>
      </c>
      <c r="I152" s="43">
        <f>H152*D152</f>
        <v>233.85</v>
      </c>
    </row>
    <row r="153" spans="2:9" ht="15.95" customHeight="1">
      <c r="B153" s="91" t="s">
        <v>75</v>
      </c>
      <c r="C153" s="57" t="s">
        <v>67</v>
      </c>
      <c r="D153" s="40">
        <v>5</v>
      </c>
      <c r="E153" s="42"/>
      <c r="F153" s="42"/>
      <c r="G153" s="42"/>
      <c r="H153" s="52">
        <f>INSUMOS!E14</f>
        <v>3.42</v>
      </c>
      <c r="I153" s="43">
        <f>H153*D153</f>
        <v>17.100000000000001</v>
      </c>
    </row>
    <row r="154" spans="2:9" ht="15.95" customHeight="1">
      <c r="B154" s="635" t="s">
        <v>576</v>
      </c>
      <c r="C154" s="635"/>
      <c r="D154" s="635"/>
      <c r="E154" s="635"/>
      <c r="F154" s="635"/>
      <c r="G154" s="635"/>
      <c r="H154" s="635"/>
      <c r="I154" s="90">
        <f>SUM(I152:I153)*0.9103</f>
        <v>228.44</v>
      </c>
    </row>
    <row r="155" spans="2:9" ht="15.95" customHeight="1">
      <c r="B155" s="628" t="s">
        <v>69</v>
      </c>
      <c r="C155" s="628"/>
      <c r="D155" s="628"/>
      <c r="E155" s="628"/>
      <c r="F155" s="628"/>
      <c r="G155" s="628"/>
      <c r="H155" s="628"/>
      <c r="I155" s="95">
        <f>SUM(I152:I154)</f>
        <v>479.39</v>
      </c>
    </row>
    <row r="156" spans="2:9" ht="15.95" customHeight="1">
      <c r="B156" s="147" t="s">
        <v>76</v>
      </c>
      <c r="C156" s="148">
        <v>1</v>
      </c>
      <c r="D156" s="636" t="s">
        <v>77</v>
      </c>
      <c r="E156" s="637"/>
      <c r="F156" s="637"/>
      <c r="G156" s="637"/>
      <c r="H156" s="638"/>
      <c r="I156" s="95">
        <f>I155+I149+I145+I141</f>
        <v>703.39</v>
      </c>
    </row>
    <row r="157" spans="2:9" ht="15.95" customHeight="1">
      <c r="B157" s="632"/>
      <c r="C157" s="633"/>
      <c r="D157" s="633"/>
      <c r="E157" s="633"/>
      <c r="F157" s="633"/>
      <c r="G157" s="633"/>
      <c r="H157" s="634"/>
      <c r="I157" s="95">
        <f>I156/C156</f>
        <v>703.39</v>
      </c>
    </row>
    <row r="158" spans="2:9" ht="15.95" customHeight="1">
      <c r="B158" s="139" t="s">
        <v>334</v>
      </c>
      <c r="C158" s="145">
        <f>BDI!C37</f>
        <v>24.5</v>
      </c>
      <c r="D158" s="146" t="s">
        <v>269</v>
      </c>
      <c r="E158" s="136"/>
      <c r="F158" s="136"/>
      <c r="G158" s="136"/>
      <c r="H158" s="137"/>
      <c r="I158" s="90">
        <f>C158/100*I157</f>
        <v>172.33</v>
      </c>
    </row>
    <row r="159" spans="2:9" s="127" customFormat="1" ht="30" customHeight="1" thickBot="1">
      <c r="B159" s="627" t="s">
        <v>78</v>
      </c>
      <c r="C159" s="627"/>
      <c r="D159" s="627"/>
      <c r="E159" s="627"/>
      <c r="F159" s="627"/>
      <c r="G159" s="627"/>
      <c r="H159" s="627"/>
      <c r="I159" s="135">
        <f>SUM(I157:I158)</f>
        <v>875.72</v>
      </c>
    </row>
    <row r="167" spans="2:9" s="127" customFormat="1" ht="30" customHeight="1">
      <c r="B167" s="201" t="s">
        <v>55</v>
      </c>
      <c r="C167" s="474" t="str">
        <f>'Planilha Orçamentária'!B28</f>
        <v>2.2</v>
      </c>
      <c r="D167" s="724" t="s">
        <v>56</v>
      </c>
      <c r="E167" s="724"/>
      <c r="F167" s="724"/>
      <c r="G167" s="724"/>
      <c r="H167" s="724"/>
      <c r="I167" s="724"/>
    </row>
    <row r="168" spans="2:9" s="127" customFormat="1" ht="30" customHeight="1">
      <c r="B168" s="640" t="s">
        <v>332</v>
      </c>
      <c r="C168" s="641"/>
      <c r="D168" s="641"/>
      <c r="E168" s="641"/>
      <c r="F168" s="641"/>
      <c r="G168" s="642"/>
      <c r="H168" s="643" t="s">
        <v>700</v>
      </c>
      <c r="I168" s="644"/>
    </row>
    <row r="169" spans="2:9" s="127" customFormat="1" ht="30" customHeight="1">
      <c r="B169" s="725" t="s">
        <v>91</v>
      </c>
      <c r="C169" s="725"/>
      <c r="D169" s="725"/>
      <c r="E169" s="725"/>
      <c r="F169" s="725"/>
      <c r="G169" s="725"/>
      <c r="H169" s="60" t="s">
        <v>57</v>
      </c>
      <c r="I169" s="61" t="s">
        <v>85</v>
      </c>
    </row>
    <row r="170" spans="2:9" s="127" customFormat="1" ht="30" customHeight="1">
      <c r="B170" s="704" t="s">
        <v>58</v>
      </c>
      <c r="C170" s="704"/>
      <c r="D170" s="704"/>
      <c r="E170" s="704"/>
      <c r="F170" s="704"/>
      <c r="G170" s="704"/>
      <c r="H170" s="704"/>
      <c r="I170" s="704"/>
    </row>
    <row r="171" spans="2:9" ht="25.5">
      <c r="B171" s="149" t="s">
        <v>59</v>
      </c>
      <c r="C171" s="71" t="s">
        <v>5</v>
      </c>
      <c r="D171" s="47" t="s">
        <v>6</v>
      </c>
      <c r="E171" s="47" t="s">
        <v>61</v>
      </c>
      <c r="F171" s="47" t="s">
        <v>62</v>
      </c>
      <c r="G171" s="36" t="s">
        <v>63</v>
      </c>
      <c r="H171" s="36" t="s">
        <v>64</v>
      </c>
      <c r="I171" s="90" t="s">
        <v>65</v>
      </c>
    </row>
    <row r="172" spans="2:9" ht="12.75" customHeight="1">
      <c r="B172" s="38"/>
      <c r="C172" s="39"/>
      <c r="D172" s="140"/>
      <c r="E172" s="40"/>
      <c r="F172" s="40"/>
      <c r="G172" s="58"/>
      <c r="H172" s="40"/>
      <c r="I172" s="100"/>
    </row>
    <row r="173" spans="2:9" ht="12.75" customHeight="1">
      <c r="B173" s="726" t="s">
        <v>69</v>
      </c>
      <c r="C173" s="726"/>
      <c r="D173" s="726"/>
      <c r="E173" s="726"/>
      <c r="F173" s="726"/>
      <c r="G173" s="726"/>
      <c r="H173" s="726"/>
      <c r="I173" s="160">
        <f>SUM(I172:I172)</f>
        <v>0</v>
      </c>
    </row>
    <row r="174" spans="2:9" s="127" customFormat="1" ht="30" customHeight="1">
      <c r="B174" s="729" t="s">
        <v>70</v>
      </c>
      <c r="C174" s="729"/>
      <c r="D174" s="729"/>
      <c r="E174" s="729"/>
      <c r="F174" s="729"/>
      <c r="G174" s="729"/>
      <c r="H174" s="729"/>
      <c r="I174" s="729"/>
    </row>
    <row r="175" spans="2:9">
      <c r="B175" s="62" t="s">
        <v>59</v>
      </c>
      <c r="C175" s="78" t="s">
        <v>5</v>
      </c>
      <c r="D175" s="78" t="s">
        <v>6</v>
      </c>
      <c r="E175" s="79"/>
      <c r="F175" s="79"/>
      <c r="G175" s="79"/>
      <c r="H175" s="78" t="s">
        <v>71</v>
      </c>
      <c r="I175" s="80" t="s">
        <v>65</v>
      </c>
    </row>
    <row r="176" spans="2:9">
      <c r="B176" s="81"/>
      <c r="C176" s="71"/>
      <c r="D176" s="57"/>
      <c r="E176" s="63"/>
      <c r="F176" s="63"/>
      <c r="G176" s="63"/>
      <c r="H176" s="57"/>
      <c r="I176" s="132"/>
    </row>
    <row r="177" spans="2:11" ht="12.75" customHeight="1">
      <c r="B177" s="730" t="s">
        <v>335</v>
      </c>
      <c r="C177" s="730"/>
      <c r="D177" s="730"/>
      <c r="E177" s="730"/>
      <c r="F177" s="730"/>
      <c r="G177" s="730"/>
      <c r="H177" s="730"/>
      <c r="I177" s="134"/>
    </row>
    <row r="178" spans="2:11" s="127" customFormat="1" ht="30" customHeight="1">
      <c r="B178" s="729" t="s">
        <v>72</v>
      </c>
      <c r="C178" s="729"/>
      <c r="D178" s="729"/>
      <c r="E178" s="729"/>
      <c r="F178" s="729"/>
      <c r="G178" s="729"/>
      <c r="H178" s="729"/>
      <c r="I178" s="729"/>
    </row>
    <row r="179" spans="2:11">
      <c r="B179" s="69" t="s">
        <v>59</v>
      </c>
      <c r="C179" s="57" t="s">
        <v>5</v>
      </c>
      <c r="D179" s="71" t="s">
        <v>6</v>
      </c>
      <c r="E179" s="70"/>
      <c r="F179" s="70"/>
      <c r="G179" s="70"/>
      <c r="H179" s="71" t="s">
        <v>71</v>
      </c>
      <c r="I179" s="64" t="s">
        <v>65</v>
      </c>
    </row>
    <row r="180" spans="2:11">
      <c r="B180" s="82"/>
      <c r="C180" s="57"/>
      <c r="D180" s="142"/>
      <c r="E180" s="70"/>
      <c r="F180" s="70"/>
      <c r="G180" s="70"/>
      <c r="H180" s="83"/>
      <c r="I180" s="64"/>
    </row>
    <row r="181" spans="2:11">
      <c r="B181" s="727" t="s">
        <v>69</v>
      </c>
      <c r="C181" s="727"/>
      <c r="D181" s="727"/>
      <c r="E181" s="727"/>
      <c r="F181" s="727"/>
      <c r="G181" s="727"/>
      <c r="H181" s="727"/>
      <c r="I181" s="133"/>
    </row>
    <row r="182" spans="2:11" s="127" customFormat="1" ht="30" customHeight="1">
      <c r="B182" s="729" t="s">
        <v>74</v>
      </c>
      <c r="C182" s="729"/>
      <c r="D182" s="729"/>
      <c r="E182" s="729"/>
      <c r="F182" s="729"/>
      <c r="G182" s="729"/>
      <c r="H182" s="729"/>
      <c r="I182" s="729"/>
    </row>
    <row r="183" spans="2:11" ht="15.95" customHeight="1">
      <c r="B183" s="182" t="s">
        <v>59</v>
      </c>
      <c r="C183" s="71" t="s">
        <v>5</v>
      </c>
      <c r="D183" s="71" t="s">
        <v>6</v>
      </c>
      <c r="E183" s="70"/>
      <c r="F183" s="70"/>
      <c r="G183" s="70"/>
      <c r="H183" s="71" t="s">
        <v>71</v>
      </c>
      <c r="I183" s="125" t="s">
        <v>65</v>
      </c>
    </row>
    <row r="184" spans="2:11" ht="15.95" customHeight="1">
      <c r="B184" s="119" t="s">
        <v>75</v>
      </c>
      <c r="C184" s="71" t="s">
        <v>67</v>
      </c>
      <c r="D184" s="71">
        <v>0.16</v>
      </c>
      <c r="E184" s="70"/>
      <c r="F184" s="70"/>
      <c r="G184" s="70"/>
      <c r="H184" s="75">
        <f>INSUMOS!E14</f>
        <v>3.42</v>
      </c>
      <c r="I184" s="152">
        <f>H184*D184</f>
        <v>0.55000000000000004</v>
      </c>
    </row>
    <row r="185" spans="2:11" ht="15.95" customHeight="1">
      <c r="B185" s="635" t="s">
        <v>576</v>
      </c>
      <c r="C185" s="635"/>
      <c r="D185" s="635"/>
      <c r="E185" s="635"/>
      <c r="F185" s="635"/>
      <c r="G185" s="635"/>
      <c r="H185" s="635"/>
      <c r="I185" s="90">
        <f>I184*0.9103</f>
        <v>0.5</v>
      </c>
    </row>
    <row r="186" spans="2:11" ht="15.95" customHeight="1">
      <c r="B186" s="727" t="s">
        <v>69</v>
      </c>
      <c r="C186" s="727"/>
      <c r="D186" s="727"/>
      <c r="E186" s="727"/>
      <c r="F186" s="727"/>
      <c r="G186" s="727"/>
      <c r="H186" s="727"/>
      <c r="I186" s="183">
        <f>SUM(I184:I185)</f>
        <v>1.05</v>
      </c>
    </row>
    <row r="187" spans="2:11" ht="15.95" customHeight="1">
      <c r="B187" s="147" t="s">
        <v>76</v>
      </c>
      <c r="C187" s="148">
        <v>1</v>
      </c>
      <c r="D187" s="636" t="s">
        <v>77</v>
      </c>
      <c r="E187" s="637"/>
      <c r="F187" s="637"/>
      <c r="G187" s="637"/>
      <c r="H187" s="638"/>
      <c r="I187" s="95">
        <f>I186+I181+I177+I173</f>
        <v>1.05</v>
      </c>
    </row>
    <row r="188" spans="2:11" ht="15.95" customHeight="1">
      <c r="B188" s="632"/>
      <c r="C188" s="633"/>
      <c r="D188" s="633"/>
      <c r="E188" s="633"/>
      <c r="F188" s="633"/>
      <c r="G188" s="633"/>
      <c r="H188" s="634"/>
      <c r="I188" s="95">
        <f>I187/C187</f>
        <v>1.05</v>
      </c>
      <c r="K188" s="33">
        <v>1.75</v>
      </c>
    </row>
    <row r="189" spans="2:11" ht="15.95" customHeight="1">
      <c r="B189" s="139" t="s">
        <v>334</v>
      </c>
      <c r="C189" s="145">
        <f>BDI!C37</f>
        <v>24.5</v>
      </c>
      <c r="D189" s="146" t="s">
        <v>269</v>
      </c>
      <c r="E189" s="136"/>
      <c r="F189" s="136"/>
      <c r="G189" s="136"/>
      <c r="H189" s="137"/>
      <c r="I189" s="90">
        <f>C189/100*I188</f>
        <v>0.26</v>
      </c>
    </row>
    <row r="190" spans="2:11" s="127" customFormat="1" ht="30" customHeight="1" thickBot="1">
      <c r="B190" s="728" t="s">
        <v>78</v>
      </c>
      <c r="C190" s="728"/>
      <c r="D190" s="728"/>
      <c r="E190" s="728"/>
      <c r="F190" s="728"/>
      <c r="G190" s="728"/>
      <c r="H190" s="728"/>
      <c r="I190" s="135">
        <f>SUM(I188:I189)</f>
        <v>1.31</v>
      </c>
    </row>
    <row r="197" spans="2:10" ht="13.5" thickBot="1"/>
    <row r="198" spans="2:10" s="127" customFormat="1" ht="30" customHeight="1">
      <c r="B198" s="200" t="s">
        <v>55</v>
      </c>
      <c r="C198" s="474" t="str">
        <f>'Planilha Orçamentária'!B29</f>
        <v>2.3</v>
      </c>
      <c r="D198" s="639" t="s">
        <v>56</v>
      </c>
      <c r="E198" s="639"/>
      <c r="F198" s="639"/>
      <c r="G198" s="639"/>
      <c r="H198" s="639"/>
      <c r="I198" s="639"/>
    </row>
    <row r="199" spans="2:10" s="127" customFormat="1" ht="30" customHeight="1">
      <c r="B199" s="655" t="s">
        <v>332</v>
      </c>
      <c r="C199" s="656"/>
      <c r="D199" s="656"/>
      <c r="E199" s="656"/>
      <c r="F199" s="656"/>
      <c r="G199" s="657"/>
      <c r="H199" s="674" t="s">
        <v>700</v>
      </c>
      <c r="I199" s="675"/>
    </row>
    <row r="200" spans="2:10" s="127" customFormat="1" ht="30" customHeight="1">
      <c r="B200" s="648" t="s">
        <v>506</v>
      </c>
      <c r="C200" s="648"/>
      <c r="D200" s="648"/>
      <c r="E200" s="648"/>
      <c r="F200" s="648"/>
      <c r="G200" s="648"/>
      <c r="H200" s="313" t="s">
        <v>57</v>
      </c>
      <c r="I200" s="126" t="s">
        <v>379</v>
      </c>
    </row>
    <row r="201" spans="2:10" s="127" customFormat="1" ht="30" customHeight="1">
      <c r="B201" s="626" t="s">
        <v>58</v>
      </c>
      <c r="C201" s="626"/>
      <c r="D201" s="626"/>
      <c r="E201" s="626"/>
      <c r="F201" s="626"/>
      <c r="G201" s="626"/>
      <c r="H201" s="626"/>
      <c r="I201" s="626"/>
    </row>
    <row r="202" spans="2:10" s="93" customFormat="1" ht="25.5">
      <c r="B202" s="35" t="s">
        <v>59</v>
      </c>
      <c r="C202" s="172" t="s">
        <v>5</v>
      </c>
      <c r="D202" s="36" t="s">
        <v>6</v>
      </c>
      <c r="E202" s="36" t="s">
        <v>61</v>
      </c>
      <c r="F202" s="36" t="s">
        <v>62</v>
      </c>
      <c r="G202" s="36" t="s">
        <v>63</v>
      </c>
      <c r="H202" s="36" t="s">
        <v>64</v>
      </c>
      <c r="I202" s="37" t="s">
        <v>65</v>
      </c>
    </row>
    <row r="203" spans="2:10" ht="15.95" customHeight="1">
      <c r="B203" s="84" t="s">
        <v>96</v>
      </c>
      <c r="C203" s="85" t="s">
        <v>67</v>
      </c>
      <c r="D203" s="86">
        <v>8</v>
      </c>
      <c r="E203" s="49">
        <v>1</v>
      </c>
      <c r="F203" s="49"/>
      <c r="G203" s="56">
        <f>INSUMOS!E99</f>
        <v>3.17</v>
      </c>
      <c r="H203" s="49"/>
      <c r="I203" s="87">
        <f>D203*E203*G203+D203*F203*H203</f>
        <v>25.36</v>
      </c>
      <c r="J203" s="51"/>
    </row>
    <row r="204" spans="2:10" ht="15.95" customHeight="1">
      <c r="B204" s="628" t="s">
        <v>69</v>
      </c>
      <c r="C204" s="628"/>
      <c r="D204" s="628"/>
      <c r="E204" s="628"/>
      <c r="F204" s="628"/>
      <c r="G204" s="628"/>
      <c r="H204" s="628"/>
      <c r="I204" s="95">
        <f>SUM(I203:I203)</f>
        <v>25.36</v>
      </c>
    </row>
    <row r="205" spans="2:10" s="127" customFormat="1" ht="30" customHeight="1">
      <c r="B205" s="626" t="s">
        <v>70</v>
      </c>
      <c r="C205" s="626"/>
      <c r="D205" s="626"/>
      <c r="E205" s="626"/>
      <c r="F205" s="626"/>
      <c r="G205" s="626"/>
      <c r="H205" s="626"/>
      <c r="I205" s="626"/>
    </row>
    <row r="206" spans="2:10" ht="15.95" customHeight="1">
      <c r="B206" s="179" t="s">
        <v>59</v>
      </c>
      <c r="C206" s="180" t="s">
        <v>5</v>
      </c>
      <c r="D206" s="47" t="s">
        <v>6</v>
      </c>
      <c r="E206" s="46"/>
      <c r="F206" s="46"/>
      <c r="G206" s="46"/>
      <c r="H206" s="47" t="s">
        <v>71</v>
      </c>
      <c r="I206" s="90" t="s">
        <v>65</v>
      </c>
    </row>
    <row r="207" spans="2:10" ht="15.95" customHeight="1">
      <c r="B207" s="97" t="s">
        <v>97</v>
      </c>
      <c r="C207" s="88" t="s">
        <v>94</v>
      </c>
      <c r="D207" s="89">
        <v>0.1</v>
      </c>
      <c r="E207" s="46"/>
      <c r="F207" s="46"/>
      <c r="G207" s="46"/>
      <c r="H207" s="56">
        <f>INSUMOS!E33</f>
        <v>14</v>
      </c>
      <c r="I207" s="90">
        <f>H207*D207</f>
        <v>1.4</v>
      </c>
    </row>
    <row r="208" spans="2:10" ht="15.95" customHeight="1">
      <c r="B208" s="38" t="s">
        <v>98</v>
      </c>
      <c r="C208" s="88" t="s">
        <v>94</v>
      </c>
      <c r="D208" s="89">
        <v>41.45</v>
      </c>
      <c r="E208" s="46"/>
      <c r="F208" s="46"/>
      <c r="G208" s="46"/>
      <c r="H208" s="56">
        <f>INSUMOS!E32</f>
        <v>2.38</v>
      </c>
      <c r="I208" s="90">
        <f>H208*D208</f>
        <v>98.65</v>
      </c>
    </row>
    <row r="209" spans="2:9" ht="15.95" customHeight="1">
      <c r="B209" s="628" t="s">
        <v>69</v>
      </c>
      <c r="C209" s="628"/>
      <c r="D209" s="628"/>
      <c r="E209" s="628"/>
      <c r="F209" s="628"/>
      <c r="G209" s="628"/>
      <c r="H209" s="628"/>
      <c r="I209" s="90">
        <f>SUM(I207:I208)</f>
        <v>100.05</v>
      </c>
    </row>
    <row r="210" spans="2:9" s="127" customFormat="1" ht="30" customHeight="1">
      <c r="B210" s="626" t="s">
        <v>72</v>
      </c>
      <c r="C210" s="626"/>
      <c r="D210" s="626"/>
      <c r="E210" s="626"/>
      <c r="F210" s="626"/>
      <c r="G210" s="626"/>
      <c r="H210" s="626"/>
      <c r="I210" s="626"/>
    </row>
    <row r="211" spans="2:9" ht="15.95" customHeight="1">
      <c r="B211" s="45" t="s">
        <v>59</v>
      </c>
      <c r="C211" s="57" t="s">
        <v>5</v>
      </c>
      <c r="D211" s="47" t="s">
        <v>6</v>
      </c>
      <c r="E211" s="46"/>
      <c r="F211" s="46"/>
      <c r="G211" s="46"/>
      <c r="H211" s="47" t="s">
        <v>71</v>
      </c>
      <c r="I211" s="43" t="s">
        <v>65</v>
      </c>
    </row>
    <row r="212" spans="2:9" ht="15.95" customHeight="1">
      <c r="B212" s="48"/>
      <c r="C212" s="47"/>
      <c r="D212" s="47"/>
      <c r="E212" s="46"/>
      <c r="F212" s="46"/>
      <c r="G212" s="46"/>
      <c r="H212" s="47"/>
      <c r="I212" s="90">
        <f>D212*H212</f>
        <v>0</v>
      </c>
    </row>
    <row r="213" spans="2:9" ht="15.95" customHeight="1">
      <c r="B213" s="628" t="s">
        <v>69</v>
      </c>
      <c r="C213" s="628"/>
      <c r="D213" s="628"/>
      <c r="E213" s="628"/>
      <c r="F213" s="628"/>
      <c r="G213" s="628"/>
      <c r="H213" s="628"/>
      <c r="I213" s="90">
        <f>SUM(I212:I212)</f>
        <v>0</v>
      </c>
    </row>
    <row r="214" spans="2:9" s="127" customFormat="1" ht="30" customHeight="1">
      <c r="B214" s="626" t="s">
        <v>74</v>
      </c>
      <c r="C214" s="626"/>
      <c r="D214" s="626"/>
      <c r="E214" s="626"/>
      <c r="F214" s="626"/>
      <c r="G214" s="626"/>
      <c r="H214" s="626"/>
      <c r="I214" s="626"/>
    </row>
    <row r="215" spans="2:9" ht="15.95" customHeight="1">
      <c r="B215" s="179" t="s">
        <v>59</v>
      </c>
      <c r="C215" s="180" t="s">
        <v>5</v>
      </c>
      <c r="D215" s="144" t="s">
        <v>6</v>
      </c>
      <c r="E215" s="46"/>
      <c r="F215" s="46"/>
      <c r="G215" s="46"/>
      <c r="H215" s="47" t="s">
        <v>71</v>
      </c>
      <c r="I215" s="90" t="s">
        <v>65</v>
      </c>
    </row>
    <row r="216" spans="2:9" ht="15.95" customHeight="1">
      <c r="B216" s="53" t="s">
        <v>99</v>
      </c>
      <c r="C216" s="71" t="s">
        <v>67</v>
      </c>
      <c r="D216" s="47">
        <v>2</v>
      </c>
      <c r="E216" s="46"/>
      <c r="F216" s="46"/>
      <c r="G216" s="46"/>
      <c r="H216" s="56">
        <f>INSUMOS!E17</f>
        <v>9.94</v>
      </c>
      <c r="I216" s="90">
        <f>H216*D216</f>
        <v>19.88</v>
      </c>
    </row>
    <row r="217" spans="2:9" ht="15.95" customHeight="1">
      <c r="B217" s="91" t="s">
        <v>75</v>
      </c>
      <c r="C217" s="71" t="s">
        <v>67</v>
      </c>
      <c r="D217" s="47">
        <v>5</v>
      </c>
      <c r="E217" s="46"/>
      <c r="F217" s="46"/>
      <c r="G217" s="46"/>
      <c r="H217" s="56">
        <f>INSUMOS!E14</f>
        <v>3.42</v>
      </c>
      <c r="I217" s="90">
        <f>H217*D217</f>
        <v>17.100000000000001</v>
      </c>
    </row>
    <row r="218" spans="2:9" ht="15.95" customHeight="1">
      <c r="B218" s="91" t="s">
        <v>100</v>
      </c>
      <c r="C218" s="71" t="s">
        <v>67</v>
      </c>
      <c r="D218" s="47">
        <v>2</v>
      </c>
      <c r="E218" s="46"/>
      <c r="F218" s="46"/>
      <c r="G218" s="46"/>
      <c r="H218" s="56">
        <f>INSUMOS!E13</f>
        <v>7.5</v>
      </c>
      <c r="I218" s="90">
        <f>H218*D218</f>
        <v>15</v>
      </c>
    </row>
    <row r="219" spans="2:9" ht="15.95" customHeight="1">
      <c r="B219" s="635" t="s">
        <v>576</v>
      </c>
      <c r="C219" s="635"/>
      <c r="D219" s="635"/>
      <c r="E219" s="635"/>
      <c r="F219" s="635"/>
      <c r="G219" s="635"/>
      <c r="H219" s="635"/>
      <c r="I219" s="90">
        <f>SUM(I216:I218)*0.9103</f>
        <v>47.32</v>
      </c>
    </row>
    <row r="220" spans="2:9" ht="15.95" customHeight="1">
      <c r="B220" s="628" t="s">
        <v>69</v>
      </c>
      <c r="C220" s="628"/>
      <c r="D220" s="628"/>
      <c r="E220" s="628"/>
      <c r="F220" s="628"/>
      <c r="G220" s="628"/>
      <c r="H220" s="628"/>
      <c r="I220" s="95">
        <f>SUM(I216:I219)</f>
        <v>99.3</v>
      </c>
    </row>
    <row r="221" spans="2:9" ht="15.95" customHeight="1">
      <c r="B221" s="147" t="s">
        <v>76</v>
      </c>
      <c r="C221" s="148">
        <v>1</v>
      </c>
      <c r="D221" s="636" t="s">
        <v>77</v>
      </c>
      <c r="E221" s="637"/>
      <c r="F221" s="637"/>
      <c r="G221" s="637"/>
      <c r="H221" s="638"/>
      <c r="I221" s="95">
        <f>I220+I213+I209+I204</f>
        <v>224.71</v>
      </c>
    </row>
    <row r="222" spans="2:9" ht="15.95" customHeight="1">
      <c r="B222" s="632"/>
      <c r="C222" s="633"/>
      <c r="D222" s="633"/>
      <c r="E222" s="633"/>
      <c r="F222" s="633"/>
      <c r="G222" s="633"/>
      <c r="H222" s="634"/>
      <c r="I222" s="95">
        <f>I221/C221</f>
        <v>224.71</v>
      </c>
    </row>
    <row r="223" spans="2:9" ht="15.95" customHeight="1">
      <c r="B223" s="139" t="s">
        <v>334</v>
      </c>
      <c r="C223" s="145">
        <f>BDI!C37</f>
        <v>24.5</v>
      </c>
      <c r="D223" s="146" t="s">
        <v>269</v>
      </c>
      <c r="E223" s="136"/>
      <c r="F223" s="136"/>
      <c r="G223" s="136"/>
      <c r="H223" s="137"/>
      <c r="I223" s="90">
        <f>C223/100*I222</f>
        <v>55.05</v>
      </c>
    </row>
    <row r="224" spans="2:9" s="127" customFormat="1" ht="30" customHeight="1" thickBot="1">
      <c r="B224" s="627" t="s">
        <v>78</v>
      </c>
      <c r="C224" s="627"/>
      <c r="D224" s="627"/>
      <c r="E224" s="627"/>
      <c r="F224" s="627"/>
      <c r="G224" s="627"/>
      <c r="H224" s="627"/>
      <c r="I224" s="135">
        <f>SUM(I222:I223)</f>
        <v>279.76</v>
      </c>
    </row>
    <row r="231" spans="1:10" ht="13.5" thickBot="1"/>
    <row r="232" spans="1:10" s="127" customFormat="1" ht="30" customHeight="1">
      <c r="B232" s="200" t="s">
        <v>55</v>
      </c>
      <c r="C232" s="474" t="str">
        <f>'Planilha Orçamentária'!B30</f>
        <v>2.4</v>
      </c>
      <c r="D232" s="639" t="s">
        <v>56</v>
      </c>
      <c r="E232" s="639"/>
      <c r="F232" s="639"/>
      <c r="G232" s="639"/>
      <c r="H232" s="639"/>
      <c r="I232" s="639"/>
    </row>
    <row r="233" spans="1:10" s="127" customFormat="1" ht="30" customHeight="1">
      <c r="B233" s="640" t="s">
        <v>332</v>
      </c>
      <c r="C233" s="641"/>
      <c r="D233" s="641"/>
      <c r="E233" s="641"/>
      <c r="F233" s="641"/>
      <c r="G233" s="642"/>
      <c r="H233" s="643" t="s">
        <v>700</v>
      </c>
      <c r="I233" s="644"/>
    </row>
    <row r="234" spans="1:10" s="127" customFormat="1" ht="30" customHeight="1">
      <c r="B234" s="625" t="s">
        <v>101</v>
      </c>
      <c r="C234" s="625"/>
      <c r="D234" s="625"/>
      <c r="E234" s="625"/>
      <c r="F234" s="625"/>
      <c r="G234" s="625"/>
      <c r="H234" s="34" t="s">
        <v>57</v>
      </c>
      <c r="I234" s="126" t="s">
        <v>27</v>
      </c>
    </row>
    <row r="235" spans="1:10" s="127" customFormat="1" ht="30" customHeight="1">
      <c r="B235" s="626" t="s">
        <v>58</v>
      </c>
      <c r="C235" s="626"/>
      <c r="D235" s="626"/>
      <c r="E235" s="626"/>
      <c r="F235" s="626"/>
      <c r="G235" s="626"/>
      <c r="H235" s="626"/>
      <c r="I235" s="626"/>
    </row>
    <row r="236" spans="1:10" ht="25.5">
      <c r="A236" s="93"/>
      <c r="B236" s="35" t="s">
        <v>59</v>
      </c>
      <c r="C236" s="172" t="s">
        <v>5</v>
      </c>
      <c r="D236" s="36" t="s">
        <v>6</v>
      </c>
      <c r="E236" s="36" t="s">
        <v>61</v>
      </c>
      <c r="F236" s="36" t="s">
        <v>62</v>
      </c>
      <c r="G236" s="36" t="s">
        <v>63</v>
      </c>
      <c r="H236" s="36" t="s">
        <v>64</v>
      </c>
      <c r="I236" s="37" t="s">
        <v>65</v>
      </c>
    </row>
    <row r="237" spans="1:10" ht="15.95" customHeight="1">
      <c r="B237" s="84" t="s">
        <v>96</v>
      </c>
      <c r="C237" s="85" t="s">
        <v>67</v>
      </c>
      <c r="D237" s="86">
        <v>0.7</v>
      </c>
      <c r="E237" s="49">
        <v>1</v>
      </c>
      <c r="F237" s="49"/>
      <c r="G237" s="56">
        <f>INSUMOS!E100</f>
        <v>3.17</v>
      </c>
      <c r="H237" s="49"/>
      <c r="I237" s="87">
        <f>D237*E237*G237+D237*F237*H237</f>
        <v>2.2200000000000002</v>
      </c>
      <c r="J237" s="98"/>
    </row>
    <row r="238" spans="1:10" ht="15.95" customHeight="1">
      <c r="B238" s="97" t="s">
        <v>102</v>
      </c>
      <c r="C238" s="88" t="s">
        <v>67</v>
      </c>
      <c r="D238" s="89">
        <v>0.4</v>
      </c>
      <c r="E238" s="47">
        <v>1</v>
      </c>
      <c r="F238" s="47"/>
      <c r="G238" s="56">
        <f>INSUMOS!E101</f>
        <v>13.73</v>
      </c>
      <c r="H238" s="47"/>
      <c r="I238" s="87">
        <f>D238*E238*G238+D238*F238*H238</f>
        <v>5.49</v>
      </c>
    </row>
    <row r="239" spans="1:10" ht="15.95" customHeight="1">
      <c r="B239" s="628" t="s">
        <v>69</v>
      </c>
      <c r="C239" s="628"/>
      <c r="D239" s="628"/>
      <c r="E239" s="628"/>
      <c r="F239" s="628"/>
      <c r="G239" s="628"/>
      <c r="H239" s="628"/>
      <c r="I239" s="95">
        <f>SUM(I237:I238)</f>
        <v>7.71</v>
      </c>
    </row>
    <row r="240" spans="1:10" s="127" customFormat="1" ht="30" customHeight="1">
      <c r="B240" s="626" t="s">
        <v>70</v>
      </c>
      <c r="C240" s="626"/>
      <c r="D240" s="626"/>
      <c r="E240" s="626"/>
      <c r="F240" s="626"/>
      <c r="G240" s="626"/>
      <c r="H240" s="626"/>
      <c r="I240" s="626"/>
    </row>
    <row r="241" spans="2:10" ht="15.95" customHeight="1">
      <c r="B241" s="96" t="s">
        <v>59</v>
      </c>
      <c r="C241" s="78" t="s">
        <v>5</v>
      </c>
      <c r="D241" s="40" t="s">
        <v>6</v>
      </c>
      <c r="E241" s="42"/>
      <c r="F241" s="42"/>
      <c r="G241" s="42"/>
      <c r="H241" s="40" t="s">
        <v>71</v>
      </c>
      <c r="I241" s="43" t="s">
        <v>65</v>
      </c>
    </row>
    <row r="242" spans="2:10" ht="15.95" customHeight="1">
      <c r="B242" s="84" t="s">
        <v>103</v>
      </c>
      <c r="C242" s="85" t="s">
        <v>94</v>
      </c>
      <c r="D242" s="86">
        <v>0.13</v>
      </c>
      <c r="E242" s="50"/>
      <c r="F242" s="50"/>
      <c r="G242" s="50"/>
      <c r="H242" s="56">
        <f>INSUMOS!E33</f>
        <v>14</v>
      </c>
      <c r="I242" s="87">
        <f>H242*D242</f>
        <v>1.82</v>
      </c>
      <c r="J242" s="51"/>
    </row>
    <row r="243" spans="2:10" ht="15.95" customHeight="1">
      <c r="B243" s="84" t="s">
        <v>104</v>
      </c>
      <c r="C243" s="85" t="s">
        <v>88</v>
      </c>
      <c r="D243" s="86">
        <v>0.61</v>
      </c>
      <c r="E243" s="50"/>
      <c r="F243" s="50"/>
      <c r="G243" s="50"/>
      <c r="H243" s="56">
        <f>INSUMOS!E136</f>
        <v>16.77</v>
      </c>
      <c r="I243" s="87">
        <f>H243*D243</f>
        <v>10.23</v>
      </c>
      <c r="J243" s="51"/>
    </row>
    <row r="244" spans="2:10" ht="15.95" customHeight="1">
      <c r="B244" s="97" t="s">
        <v>98</v>
      </c>
      <c r="C244" s="88" t="s">
        <v>94</v>
      </c>
      <c r="D244" s="89">
        <v>7</v>
      </c>
      <c r="E244" s="46"/>
      <c r="F244" s="46"/>
      <c r="G244" s="46"/>
      <c r="H244" s="56">
        <f>INSUMOS!E32</f>
        <v>2.38</v>
      </c>
      <c r="I244" s="90">
        <f>H244*D244</f>
        <v>16.66</v>
      </c>
    </row>
    <row r="245" spans="2:10" ht="15.95" customHeight="1">
      <c r="B245" s="628" t="s">
        <v>69</v>
      </c>
      <c r="C245" s="628"/>
      <c r="D245" s="628"/>
      <c r="E245" s="628"/>
      <c r="F245" s="628"/>
      <c r="G245" s="628"/>
      <c r="H245" s="628"/>
      <c r="I245" s="90">
        <f>SUM(I242:I244)</f>
        <v>28.71</v>
      </c>
    </row>
    <row r="246" spans="2:10" s="127" customFormat="1" ht="30" customHeight="1">
      <c r="B246" s="626" t="s">
        <v>72</v>
      </c>
      <c r="C246" s="626"/>
      <c r="D246" s="626"/>
      <c r="E246" s="626"/>
      <c r="F246" s="626"/>
      <c r="G246" s="626"/>
      <c r="H246" s="626"/>
      <c r="I246" s="626"/>
    </row>
    <row r="247" spans="2:10" ht="15.95" customHeight="1">
      <c r="B247" s="45" t="s">
        <v>59</v>
      </c>
      <c r="C247" s="57" t="s">
        <v>5</v>
      </c>
      <c r="D247" s="47" t="s">
        <v>6</v>
      </c>
      <c r="E247" s="46"/>
      <c r="F247" s="46"/>
      <c r="G247" s="46"/>
      <c r="H247" s="47" t="s">
        <v>71</v>
      </c>
      <c r="I247" s="43" t="s">
        <v>65</v>
      </c>
    </row>
    <row r="248" spans="2:10" ht="15.95" customHeight="1">
      <c r="B248" s="48"/>
      <c r="C248" s="47"/>
      <c r="D248" s="47"/>
      <c r="E248" s="46"/>
      <c r="F248" s="46"/>
      <c r="G248" s="46"/>
      <c r="H248" s="47"/>
      <c r="I248" s="90">
        <f>D248*H248</f>
        <v>0</v>
      </c>
    </row>
    <row r="249" spans="2:10" ht="15.95" customHeight="1">
      <c r="B249" s="628" t="s">
        <v>69</v>
      </c>
      <c r="C249" s="628"/>
      <c r="D249" s="628"/>
      <c r="E249" s="628"/>
      <c r="F249" s="628"/>
      <c r="G249" s="628"/>
      <c r="H249" s="628"/>
      <c r="I249" s="90">
        <f>SUM(I248:I248)</f>
        <v>0</v>
      </c>
    </row>
    <row r="250" spans="2:10" s="127" customFormat="1" ht="30" customHeight="1">
      <c r="B250" s="626" t="s">
        <v>74</v>
      </c>
      <c r="C250" s="626"/>
      <c r="D250" s="626"/>
      <c r="E250" s="626"/>
      <c r="F250" s="626"/>
      <c r="G250" s="626"/>
      <c r="H250" s="626"/>
      <c r="I250" s="626"/>
    </row>
    <row r="251" spans="2:10" ht="15.95" customHeight="1">
      <c r="B251" s="96" t="s">
        <v>59</v>
      </c>
      <c r="C251" s="78" t="s">
        <v>5</v>
      </c>
      <c r="D251" s="110" t="s">
        <v>6</v>
      </c>
      <c r="E251" s="42"/>
      <c r="F251" s="42"/>
      <c r="G251" s="42"/>
      <c r="H251" s="40" t="s">
        <v>71</v>
      </c>
      <c r="I251" s="43" t="s">
        <v>65</v>
      </c>
    </row>
    <row r="252" spans="2:10" ht="15.95" customHeight="1">
      <c r="B252" s="53" t="s">
        <v>99</v>
      </c>
      <c r="C252" s="71" t="s">
        <v>67</v>
      </c>
      <c r="D252" s="47">
        <v>2.2999999999999998</v>
      </c>
      <c r="E252" s="46"/>
      <c r="F252" s="46"/>
      <c r="G252" s="46"/>
      <c r="H252" s="56">
        <f>INSUMOS!E17</f>
        <v>9.94</v>
      </c>
      <c r="I252" s="90">
        <f>H252*D252</f>
        <v>22.86</v>
      </c>
    </row>
    <row r="253" spans="2:10" ht="15.95" customHeight="1">
      <c r="B253" s="91" t="s">
        <v>75</v>
      </c>
      <c r="C253" s="71" t="s">
        <v>67</v>
      </c>
      <c r="D253" s="47">
        <v>0.38</v>
      </c>
      <c r="E253" s="46"/>
      <c r="F253" s="46"/>
      <c r="G253" s="46"/>
      <c r="H253" s="56">
        <f>INSUMOS!E14</f>
        <v>3.42</v>
      </c>
      <c r="I253" s="90">
        <f>H253*D253</f>
        <v>1.3</v>
      </c>
    </row>
    <row r="254" spans="2:10" ht="15.95" customHeight="1">
      <c r="B254" s="91" t="s">
        <v>105</v>
      </c>
      <c r="C254" s="71" t="s">
        <v>67</v>
      </c>
      <c r="D254" s="47">
        <v>2</v>
      </c>
      <c r="E254" s="46"/>
      <c r="F254" s="46"/>
      <c r="G254" s="46"/>
      <c r="H254" s="56">
        <f>INSUMOS!E22</f>
        <v>8.76</v>
      </c>
      <c r="I254" s="90">
        <f>H254*D254</f>
        <v>17.52</v>
      </c>
    </row>
    <row r="255" spans="2:10" ht="15.95" customHeight="1">
      <c r="B255" s="635" t="s">
        <v>576</v>
      </c>
      <c r="C255" s="635"/>
      <c r="D255" s="635"/>
      <c r="E255" s="635"/>
      <c r="F255" s="635"/>
      <c r="G255" s="635"/>
      <c r="H255" s="635"/>
      <c r="I255" s="90">
        <f>SUM(I252:I254)*0.9103</f>
        <v>37.94</v>
      </c>
    </row>
    <row r="256" spans="2:10" ht="15.95" customHeight="1">
      <c r="B256" s="628" t="s">
        <v>69</v>
      </c>
      <c r="C256" s="628"/>
      <c r="D256" s="628"/>
      <c r="E256" s="628"/>
      <c r="F256" s="628"/>
      <c r="G256" s="628"/>
      <c r="H256" s="628"/>
      <c r="I256" s="95">
        <f>SUM(I252:I255)</f>
        <v>79.62</v>
      </c>
    </row>
    <row r="257" spans="1:9" ht="15.95" customHeight="1">
      <c r="B257" s="147" t="s">
        <v>76</v>
      </c>
      <c r="C257" s="148">
        <v>1</v>
      </c>
      <c r="D257" s="636" t="s">
        <v>77</v>
      </c>
      <c r="E257" s="637"/>
      <c r="F257" s="637"/>
      <c r="G257" s="637"/>
      <c r="H257" s="638"/>
      <c r="I257" s="95">
        <f>I256+I249+I245+I239</f>
        <v>116.04</v>
      </c>
    </row>
    <row r="258" spans="1:9" ht="15.95" customHeight="1">
      <c r="B258" s="632"/>
      <c r="C258" s="633"/>
      <c r="D258" s="633"/>
      <c r="E258" s="633"/>
      <c r="F258" s="633"/>
      <c r="G258" s="633"/>
      <c r="H258" s="634"/>
      <c r="I258" s="95">
        <f>I257/C257</f>
        <v>116.04</v>
      </c>
    </row>
    <row r="259" spans="1:9" ht="15.95" customHeight="1">
      <c r="B259" s="139" t="s">
        <v>334</v>
      </c>
      <c r="C259" s="145">
        <f>BDI!C37</f>
        <v>24.5</v>
      </c>
      <c r="D259" s="146" t="s">
        <v>269</v>
      </c>
      <c r="E259" s="136"/>
      <c r="F259" s="136"/>
      <c r="G259" s="136"/>
      <c r="H259" s="137"/>
      <c r="I259" s="90">
        <f>C259/100*I258</f>
        <v>28.43</v>
      </c>
    </row>
    <row r="260" spans="1:9" s="127" customFormat="1" ht="30" customHeight="1" thickBot="1">
      <c r="B260" s="627" t="s">
        <v>78</v>
      </c>
      <c r="C260" s="627"/>
      <c r="D260" s="627"/>
      <c r="E260" s="627"/>
      <c r="F260" s="627"/>
      <c r="G260" s="627"/>
      <c r="H260" s="627"/>
      <c r="I260" s="135">
        <f>SUM(I258:I259)</f>
        <v>144.47</v>
      </c>
    </row>
    <row r="267" spans="1:9" s="127" customFormat="1" ht="30" customHeight="1">
      <c r="B267" s="200" t="s">
        <v>55</v>
      </c>
      <c r="C267" s="474" t="str">
        <f>'Planilha Orçamentária'!B31</f>
        <v>2.5</v>
      </c>
      <c r="D267" s="639" t="s">
        <v>56</v>
      </c>
      <c r="E267" s="639"/>
      <c r="F267" s="639"/>
      <c r="G267" s="639"/>
      <c r="H267" s="639"/>
      <c r="I267" s="639"/>
    </row>
    <row r="268" spans="1:9" s="127" customFormat="1" ht="30" customHeight="1">
      <c r="B268" s="640" t="s">
        <v>332</v>
      </c>
      <c r="C268" s="641"/>
      <c r="D268" s="641"/>
      <c r="E268" s="641"/>
      <c r="F268" s="641"/>
      <c r="G268" s="642"/>
      <c r="H268" s="643" t="s">
        <v>700</v>
      </c>
      <c r="I268" s="644"/>
    </row>
    <row r="269" spans="1:9" s="127" customFormat="1" ht="30" customHeight="1">
      <c r="B269" s="625" t="s">
        <v>106</v>
      </c>
      <c r="C269" s="625"/>
      <c r="D269" s="625"/>
      <c r="E269" s="625"/>
      <c r="F269" s="625"/>
      <c r="G269" s="625"/>
      <c r="H269" s="34" t="s">
        <v>57</v>
      </c>
      <c r="I269" s="126" t="s">
        <v>27</v>
      </c>
    </row>
    <row r="270" spans="1:9" s="127" customFormat="1" ht="30" customHeight="1">
      <c r="B270" s="626" t="s">
        <v>58</v>
      </c>
      <c r="C270" s="626"/>
      <c r="D270" s="626"/>
      <c r="E270" s="626"/>
      <c r="F270" s="626"/>
      <c r="G270" s="626"/>
      <c r="H270" s="626"/>
      <c r="I270" s="626"/>
    </row>
    <row r="271" spans="1:9" ht="25.5">
      <c r="A271" s="93"/>
      <c r="B271" s="35" t="s">
        <v>59</v>
      </c>
      <c r="C271" s="172" t="s">
        <v>5</v>
      </c>
      <c r="D271" s="36" t="s">
        <v>6</v>
      </c>
      <c r="E271" s="36" t="s">
        <v>61</v>
      </c>
      <c r="F271" s="36" t="s">
        <v>62</v>
      </c>
      <c r="G271" s="36" t="s">
        <v>63</v>
      </c>
      <c r="H271" s="36" t="s">
        <v>64</v>
      </c>
      <c r="I271" s="37" t="s">
        <v>65</v>
      </c>
    </row>
    <row r="272" spans="1:9" ht="15.95" customHeight="1">
      <c r="A272" s="93"/>
      <c r="B272" s="97" t="s">
        <v>102</v>
      </c>
      <c r="C272" s="39" t="s">
        <v>67</v>
      </c>
      <c r="D272" s="140">
        <v>0.4</v>
      </c>
      <c r="E272" s="40">
        <v>1</v>
      </c>
      <c r="F272" s="40"/>
      <c r="G272" s="56">
        <f>INSUMOS!E101</f>
        <v>13.73</v>
      </c>
      <c r="H272" s="40"/>
      <c r="I272" s="87">
        <f>D272*E272*G272+D272*F272*H272</f>
        <v>5.49</v>
      </c>
    </row>
    <row r="273" spans="2:10" ht="15.95" customHeight="1">
      <c r="B273" s="97" t="s">
        <v>96</v>
      </c>
      <c r="C273" s="39" t="s">
        <v>67</v>
      </c>
      <c r="D273" s="140">
        <v>0.48</v>
      </c>
      <c r="E273" s="40">
        <v>1</v>
      </c>
      <c r="F273" s="40"/>
      <c r="G273" s="56">
        <f>INSUMOS!E100</f>
        <v>3.17</v>
      </c>
      <c r="H273" s="40"/>
      <c r="I273" s="87">
        <f>D273*E273*G273+D273*F273*H273</f>
        <v>1.52</v>
      </c>
    </row>
    <row r="274" spans="2:10" ht="15.95" customHeight="1">
      <c r="B274" s="628" t="s">
        <v>69</v>
      </c>
      <c r="C274" s="628"/>
      <c r="D274" s="628"/>
      <c r="E274" s="628"/>
      <c r="F274" s="628"/>
      <c r="G274" s="628"/>
      <c r="H274" s="628"/>
      <c r="I274" s="95">
        <f>SUM(I272:I273)</f>
        <v>7.01</v>
      </c>
    </row>
    <row r="275" spans="2:10" s="127" customFormat="1" ht="30" customHeight="1">
      <c r="B275" s="626" t="s">
        <v>70</v>
      </c>
      <c r="C275" s="626"/>
      <c r="D275" s="626"/>
      <c r="E275" s="626"/>
      <c r="F275" s="626"/>
      <c r="G275" s="626"/>
      <c r="H275" s="626"/>
      <c r="I275" s="626"/>
    </row>
    <row r="276" spans="2:10" ht="15.95" customHeight="1">
      <c r="B276" s="96" t="s">
        <v>59</v>
      </c>
      <c r="C276" s="78" t="s">
        <v>5</v>
      </c>
      <c r="D276" s="40" t="s">
        <v>6</v>
      </c>
      <c r="E276" s="42"/>
      <c r="F276" s="42"/>
      <c r="G276" s="42"/>
      <c r="H276" s="40" t="s">
        <v>71</v>
      </c>
      <c r="I276" s="43" t="s">
        <v>65</v>
      </c>
    </row>
    <row r="277" spans="2:10" ht="15.95" customHeight="1">
      <c r="B277" s="84" t="s">
        <v>103</v>
      </c>
      <c r="C277" s="94" t="s">
        <v>94</v>
      </c>
      <c r="D277" s="143">
        <v>0.14000000000000001</v>
      </c>
      <c r="E277" s="59"/>
      <c r="F277" s="59"/>
      <c r="G277" s="59"/>
      <c r="H277" s="52">
        <f>INSUMOS!E33</f>
        <v>14</v>
      </c>
      <c r="I277" s="87">
        <f>H277*D277</f>
        <v>1.96</v>
      </c>
      <c r="J277" s="51"/>
    </row>
    <row r="278" spans="2:10" ht="15.95" customHeight="1">
      <c r="B278" s="84" t="s">
        <v>104</v>
      </c>
      <c r="C278" s="94" t="s">
        <v>88</v>
      </c>
      <c r="D278" s="143">
        <v>0.09</v>
      </c>
      <c r="E278" s="59"/>
      <c r="F278" s="59"/>
      <c r="G278" s="59"/>
      <c r="H278" s="52">
        <f>INSUMOS!E136</f>
        <v>16.77</v>
      </c>
      <c r="I278" s="87">
        <f>H278*D278</f>
        <v>1.51</v>
      </c>
      <c r="J278" s="51"/>
    </row>
    <row r="279" spans="2:10" ht="15.95" customHeight="1">
      <c r="B279" s="97" t="s">
        <v>98</v>
      </c>
      <c r="C279" s="39" t="s">
        <v>94</v>
      </c>
      <c r="D279" s="140">
        <v>7.5</v>
      </c>
      <c r="E279" s="42"/>
      <c r="F279" s="42"/>
      <c r="G279" s="42"/>
      <c r="H279" s="52">
        <f>INSUMOS!E32</f>
        <v>2.38</v>
      </c>
      <c r="I279" s="90">
        <f>H279*D279</f>
        <v>17.850000000000001</v>
      </c>
    </row>
    <row r="280" spans="2:10" ht="15.95" customHeight="1">
      <c r="B280" s="628" t="s">
        <v>69</v>
      </c>
      <c r="C280" s="628"/>
      <c r="D280" s="628"/>
      <c r="E280" s="628"/>
      <c r="F280" s="628"/>
      <c r="G280" s="628"/>
      <c r="H280" s="628"/>
      <c r="I280" s="90">
        <f>SUM(I277:I279)</f>
        <v>21.32</v>
      </c>
    </row>
    <row r="281" spans="2:10" s="127" customFormat="1" ht="30" customHeight="1">
      <c r="B281" s="626" t="s">
        <v>72</v>
      </c>
      <c r="C281" s="626"/>
      <c r="D281" s="626"/>
      <c r="E281" s="626"/>
      <c r="F281" s="626"/>
      <c r="G281" s="626"/>
      <c r="H281" s="626"/>
      <c r="I281" s="626"/>
    </row>
    <row r="282" spans="2:10" ht="15.95" customHeight="1">
      <c r="B282" s="45" t="s">
        <v>59</v>
      </c>
      <c r="C282" s="57" t="s">
        <v>5</v>
      </c>
      <c r="D282" s="47" t="s">
        <v>6</v>
      </c>
      <c r="E282" s="46"/>
      <c r="F282" s="46"/>
      <c r="G282" s="46"/>
      <c r="H282" s="47" t="s">
        <v>71</v>
      </c>
      <c r="I282" s="43" t="s">
        <v>65</v>
      </c>
    </row>
    <row r="283" spans="2:10" ht="15.95" customHeight="1">
      <c r="B283" s="48"/>
      <c r="C283" s="47"/>
      <c r="D283" s="47"/>
      <c r="E283" s="46"/>
      <c r="F283" s="46"/>
      <c r="G283" s="46"/>
      <c r="H283" s="47"/>
      <c r="I283" s="90">
        <f>D283*H283</f>
        <v>0</v>
      </c>
    </row>
    <row r="284" spans="2:10" ht="15.95" customHeight="1">
      <c r="B284" s="628" t="s">
        <v>69</v>
      </c>
      <c r="C284" s="628"/>
      <c r="D284" s="628"/>
      <c r="E284" s="628"/>
      <c r="F284" s="628"/>
      <c r="G284" s="628"/>
      <c r="H284" s="628"/>
      <c r="I284" s="90">
        <f>SUM(I283:I283)</f>
        <v>0</v>
      </c>
    </row>
    <row r="285" spans="2:10" s="127" customFormat="1" ht="30" customHeight="1">
      <c r="B285" s="626" t="s">
        <v>74</v>
      </c>
      <c r="C285" s="626"/>
      <c r="D285" s="626"/>
      <c r="E285" s="626"/>
      <c r="F285" s="626"/>
      <c r="G285" s="626"/>
      <c r="H285" s="626"/>
      <c r="I285" s="626"/>
    </row>
    <row r="286" spans="2:10" ht="15.95" customHeight="1">
      <c r="B286" s="96" t="s">
        <v>59</v>
      </c>
      <c r="C286" s="78" t="s">
        <v>5</v>
      </c>
      <c r="D286" s="110" t="s">
        <v>6</v>
      </c>
      <c r="E286" s="42"/>
      <c r="F286" s="42"/>
      <c r="G286" s="42"/>
      <c r="H286" s="40" t="s">
        <v>71</v>
      </c>
      <c r="I286" s="43" t="s">
        <v>65</v>
      </c>
    </row>
    <row r="287" spans="2:10" ht="15.95" customHeight="1">
      <c r="B287" s="53" t="s">
        <v>99</v>
      </c>
      <c r="C287" s="71" t="s">
        <v>67</v>
      </c>
      <c r="D287" s="47">
        <v>2</v>
      </c>
      <c r="E287" s="46"/>
      <c r="F287" s="46"/>
      <c r="G287" s="46"/>
      <c r="H287" s="56">
        <f>INSUMOS!E17</f>
        <v>9.94</v>
      </c>
      <c r="I287" s="90">
        <f>H287*D287</f>
        <v>19.88</v>
      </c>
    </row>
    <row r="288" spans="2:10" ht="15.95" customHeight="1">
      <c r="B288" s="91" t="s">
        <v>75</v>
      </c>
      <c r="C288" s="71" t="s">
        <v>67</v>
      </c>
      <c r="D288" s="47">
        <v>0.35</v>
      </c>
      <c r="E288" s="46"/>
      <c r="F288" s="46"/>
      <c r="G288" s="46"/>
      <c r="H288" s="56">
        <f>INSUMOS!E14</f>
        <v>3.42</v>
      </c>
      <c r="I288" s="90">
        <f>H288*D288</f>
        <v>1.2</v>
      </c>
    </row>
    <row r="289" spans="2:9" ht="15.95" customHeight="1">
      <c r="B289" s="91" t="s">
        <v>105</v>
      </c>
      <c r="C289" s="71" t="s">
        <v>67</v>
      </c>
      <c r="D289" s="47">
        <v>1.95</v>
      </c>
      <c r="E289" s="46"/>
      <c r="F289" s="46"/>
      <c r="G289" s="46"/>
      <c r="H289" s="56">
        <f>INSUMOS!E22</f>
        <v>8.76</v>
      </c>
      <c r="I289" s="90">
        <f>H289*D289</f>
        <v>17.079999999999998</v>
      </c>
    </row>
    <row r="290" spans="2:9" ht="15.95" customHeight="1">
      <c r="B290" s="635" t="s">
        <v>576</v>
      </c>
      <c r="C290" s="635"/>
      <c r="D290" s="635"/>
      <c r="E290" s="635"/>
      <c r="F290" s="635"/>
      <c r="G290" s="635"/>
      <c r="H290" s="635"/>
      <c r="I290" s="90">
        <f>SUM(I287:I289)*0.9103</f>
        <v>34.74</v>
      </c>
    </row>
    <row r="291" spans="2:9" ht="15.95" customHeight="1">
      <c r="B291" s="628" t="s">
        <v>69</v>
      </c>
      <c r="C291" s="628"/>
      <c r="D291" s="628"/>
      <c r="E291" s="628"/>
      <c r="F291" s="628"/>
      <c r="G291" s="628"/>
      <c r="H291" s="628"/>
      <c r="I291" s="92">
        <f>SUM(I287:I290)</f>
        <v>72.900000000000006</v>
      </c>
    </row>
    <row r="292" spans="2:9" ht="15.95" customHeight="1">
      <c r="B292" s="147" t="s">
        <v>76</v>
      </c>
      <c r="C292" s="148">
        <v>1</v>
      </c>
      <c r="D292" s="636" t="s">
        <v>77</v>
      </c>
      <c r="E292" s="637"/>
      <c r="F292" s="637"/>
      <c r="G292" s="637"/>
      <c r="H292" s="638"/>
      <c r="I292" s="92">
        <f>I291+I284+I280+I274</f>
        <v>101.23</v>
      </c>
    </row>
    <row r="293" spans="2:9" ht="15.95" customHeight="1">
      <c r="B293" s="632"/>
      <c r="C293" s="633"/>
      <c r="D293" s="633"/>
      <c r="E293" s="633"/>
      <c r="F293" s="633"/>
      <c r="G293" s="633"/>
      <c r="H293" s="634"/>
      <c r="I293" s="92">
        <f>I292/C292</f>
        <v>101.23</v>
      </c>
    </row>
    <row r="294" spans="2:9" ht="15.95" customHeight="1">
      <c r="B294" s="139" t="s">
        <v>334</v>
      </c>
      <c r="C294" s="145">
        <f>BDI!C37</f>
        <v>24.5</v>
      </c>
      <c r="D294" s="146" t="s">
        <v>269</v>
      </c>
      <c r="E294" s="136"/>
      <c r="F294" s="136"/>
      <c r="G294" s="136"/>
      <c r="H294" s="137"/>
      <c r="I294" s="90">
        <f>C294/100*I293</f>
        <v>24.8</v>
      </c>
    </row>
    <row r="295" spans="2:9" s="127" customFormat="1" ht="30" customHeight="1" thickBot="1">
      <c r="B295" s="627" t="s">
        <v>78</v>
      </c>
      <c r="C295" s="627"/>
      <c r="D295" s="627"/>
      <c r="E295" s="627"/>
      <c r="F295" s="627"/>
      <c r="G295" s="627"/>
      <c r="H295" s="627"/>
      <c r="I295" s="135">
        <f>SUM(I293:I294)</f>
        <v>126.03</v>
      </c>
    </row>
    <row r="301" spans="2:9" ht="13.5" thickBot="1"/>
    <row r="302" spans="2:9" s="127" customFormat="1" ht="30" customHeight="1">
      <c r="B302" s="200" t="s">
        <v>55</v>
      </c>
      <c r="C302" s="474" t="str">
        <f>'Planilha Orçamentária'!B32</f>
        <v>2.6</v>
      </c>
      <c r="D302" s="639" t="s">
        <v>56</v>
      </c>
      <c r="E302" s="639"/>
      <c r="F302" s="639"/>
      <c r="G302" s="639"/>
      <c r="H302" s="639"/>
      <c r="I302" s="639"/>
    </row>
    <row r="303" spans="2:9" s="127" customFormat="1" ht="30" customHeight="1">
      <c r="B303" s="640" t="s">
        <v>332</v>
      </c>
      <c r="C303" s="641"/>
      <c r="D303" s="641"/>
      <c r="E303" s="641"/>
      <c r="F303" s="641"/>
      <c r="G303" s="642"/>
      <c r="H303" s="643" t="s">
        <v>700</v>
      </c>
      <c r="I303" s="644"/>
    </row>
    <row r="304" spans="2:9" s="127" customFormat="1" ht="30" customHeight="1">
      <c r="B304" s="625" t="s">
        <v>411</v>
      </c>
      <c r="C304" s="625"/>
      <c r="D304" s="625"/>
      <c r="E304" s="625"/>
      <c r="F304" s="625"/>
      <c r="G304" s="625"/>
      <c r="H304" s="34" t="s">
        <v>57</v>
      </c>
      <c r="I304" s="126" t="s">
        <v>27</v>
      </c>
    </row>
    <row r="305" spans="1:9" s="127" customFormat="1" ht="30" customHeight="1">
      <c r="B305" s="626" t="s">
        <v>58</v>
      </c>
      <c r="C305" s="626"/>
      <c r="D305" s="626"/>
      <c r="E305" s="626"/>
      <c r="F305" s="626"/>
      <c r="G305" s="626"/>
      <c r="H305" s="626"/>
      <c r="I305" s="626"/>
    </row>
    <row r="306" spans="1:9" ht="25.5">
      <c r="A306" s="93"/>
      <c r="B306" s="35" t="s">
        <v>59</v>
      </c>
      <c r="C306" s="172" t="s">
        <v>5</v>
      </c>
      <c r="D306" s="36" t="s">
        <v>6</v>
      </c>
      <c r="E306" s="36" t="s">
        <v>61</v>
      </c>
      <c r="F306" s="36" t="s">
        <v>62</v>
      </c>
      <c r="G306" s="36" t="s">
        <v>63</v>
      </c>
      <c r="H306" s="36" t="s">
        <v>64</v>
      </c>
      <c r="I306" s="37" t="s">
        <v>65</v>
      </c>
    </row>
    <row r="307" spans="1:9" ht="15.95" customHeight="1">
      <c r="B307" s="97"/>
      <c r="C307" s="39"/>
      <c r="D307" s="140"/>
      <c r="E307" s="40"/>
      <c r="F307" s="40"/>
      <c r="G307" s="40"/>
      <c r="H307" s="40"/>
      <c r="I307" s="87">
        <f>D307*E307*G307+D307*F307*H307</f>
        <v>0</v>
      </c>
    </row>
    <row r="308" spans="1:9" ht="15.95" customHeight="1">
      <c r="B308" s="628" t="s">
        <v>69</v>
      </c>
      <c r="C308" s="628"/>
      <c r="D308" s="628"/>
      <c r="E308" s="628"/>
      <c r="F308" s="628"/>
      <c r="G308" s="628"/>
      <c r="H308" s="628"/>
      <c r="I308" s="95">
        <f>SUM(I307:I307)</f>
        <v>0</v>
      </c>
    </row>
    <row r="309" spans="1:9" s="127" customFormat="1" ht="30" customHeight="1">
      <c r="B309" s="626" t="s">
        <v>70</v>
      </c>
      <c r="C309" s="626"/>
      <c r="D309" s="626"/>
      <c r="E309" s="626"/>
      <c r="F309" s="626"/>
      <c r="G309" s="626"/>
      <c r="H309" s="626"/>
      <c r="I309" s="626"/>
    </row>
    <row r="310" spans="1:9">
      <c r="B310" s="96" t="s">
        <v>59</v>
      </c>
      <c r="C310" s="78" t="s">
        <v>5</v>
      </c>
      <c r="D310" s="40" t="s">
        <v>6</v>
      </c>
      <c r="E310" s="42"/>
      <c r="F310" s="42"/>
      <c r="G310" s="42"/>
      <c r="H310" s="40" t="s">
        <v>71</v>
      </c>
      <c r="I310" s="43" t="s">
        <v>65</v>
      </c>
    </row>
    <row r="311" spans="1:9" ht="15.75" customHeight="1">
      <c r="B311" s="307" t="s">
        <v>412</v>
      </c>
      <c r="C311" s="308" t="s">
        <v>27</v>
      </c>
      <c r="D311" s="309">
        <v>1</v>
      </c>
      <c r="E311" s="50"/>
      <c r="F311" s="50"/>
      <c r="G311" s="50"/>
      <c r="H311" s="56">
        <f>INSUMOS!E96</f>
        <v>77.25</v>
      </c>
      <c r="I311" s="87">
        <f>H311*D311</f>
        <v>77.25</v>
      </c>
    </row>
    <row r="312" spans="1:9" ht="15.75" customHeight="1">
      <c r="B312" s="310" t="s">
        <v>98</v>
      </c>
      <c r="C312" s="311" t="s">
        <v>94</v>
      </c>
      <c r="D312" s="169">
        <v>0.2</v>
      </c>
      <c r="E312" s="306"/>
      <c r="F312" s="50"/>
      <c r="G312" s="50"/>
      <c r="H312" s="56">
        <f>INSUMOS!E32</f>
        <v>2.38</v>
      </c>
      <c r="I312" s="87">
        <f>H312*D312</f>
        <v>0.48</v>
      </c>
    </row>
    <row r="313" spans="1:9" ht="15.75" customHeight="1">
      <c r="B313" s="310" t="s">
        <v>413</v>
      </c>
      <c r="C313" s="311" t="s">
        <v>94</v>
      </c>
      <c r="D313" s="169">
        <v>0.01</v>
      </c>
      <c r="E313" s="306"/>
      <c r="F313" s="50"/>
      <c r="G313" s="50"/>
      <c r="H313" s="56">
        <f>INSUMOS!E33</f>
        <v>14</v>
      </c>
      <c r="I313" s="87">
        <f>H313*D313</f>
        <v>0.14000000000000001</v>
      </c>
    </row>
    <row r="314" spans="1:9" ht="15.95" customHeight="1">
      <c r="B314" s="628" t="s">
        <v>69</v>
      </c>
      <c r="C314" s="628"/>
      <c r="D314" s="628"/>
      <c r="E314" s="628"/>
      <c r="F314" s="628"/>
      <c r="G314" s="628"/>
      <c r="H314" s="628"/>
      <c r="I314" s="90">
        <f>SUM(I311:I313)</f>
        <v>77.87</v>
      </c>
    </row>
    <row r="315" spans="1:9" s="127" customFormat="1" ht="30" customHeight="1">
      <c r="B315" s="626" t="s">
        <v>72</v>
      </c>
      <c r="C315" s="626"/>
      <c r="D315" s="626"/>
      <c r="E315" s="626"/>
      <c r="F315" s="626"/>
      <c r="G315" s="626"/>
      <c r="H315" s="626"/>
      <c r="I315" s="626"/>
    </row>
    <row r="316" spans="1:9" ht="15.95" customHeight="1">
      <c r="B316" s="45" t="s">
        <v>59</v>
      </c>
      <c r="C316" s="57" t="s">
        <v>5</v>
      </c>
      <c r="D316" s="47" t="s">
        <v>6</v>
      </c>
      <c r="E316" s="46"/>
      <c r="F316" s="46"/>
      <c r="G316" s="46"/>
      <c r="H316" s="47" t="s">
        <v>71</v>
      </c>
      <c r="I316" s="43" t="s">
        <v>65</v>
      </c>
    </row>
    <row r="317" spans="1:9" ht="15.95" customHeight="1">
      <c r="B317" s="48"/>
      <c r="C317" s="47"/>
      <c r="D317" s="47"/>
      <c r="E317" s="46"/>
      <c r="F317" s="46"/>
      <c r="G317" s="46"/>
      <c r="H317" s="47"/>
      <c r="I317" s="90">
        <f>D317*H317</f>
        <v>0</v>
      </c>
    </row>
    <row r="318" spans="1:9" ht="15.95" customHeight="1">
      <c r="B318" s="628" t="s">
        <v>69</v>
      </c>
      <c r="C318" s="628"/>
      <c r="D318" s="628"/>
      <c r="E318" s="628"/>
      <c r="F318" s="628"/>
      <c r="G318" s="628"/>
      <c r="H318" s="628"/>
      <c r="I318" s="90">
        <f>SUM(I317:I317)</f>
        <v>0</v>
      </c>
    </row>
    <row r="319" spans="1:9" s="127" customFormat="1" ht="30" customHeight="1">
      <c r="B319" s="626" t="s">
        <v>74</v>
      </c>
      <c r="C319" s="626"/>
      <c r="D319" s="626"/>
      <c r="E319" s="626"/>
      <c r="F319" s="626"/>
      <c r="G319" s="626"/>
      <c r="H319" s="626"/>
      <c r="I319" s="626"/>
    </row>
    <row r="320" spans="1:9" ht="15.95" customHeight="1">
      <c r="B320" s="96" t="s">
        <v>59</v>
      </c>
      <c r="C320" s="78" t="s">
        <v>5</v>
      </c>
      <c r="D320" s="110" t="s">
        <v>6</v>
      </c>
      <c r="E320" s="42"/>
      <c r="F320" s="42"/>
      <c r="G320" s="42"/>
      <c r="H320" s="40" t="s">
        <v>71</v>
      </c>
      <c r="I320" s="43" t="s">
        <v>65</v>
      </c>
    </row>
    <row r="321" spans="2:9" ht="15.95" customHeight="1">
      <c r="B321" s="53" t="s">
        <v>99</v>
      </c>
      <c r="C321" s="71" t="s">
        <v>67</v>
      </c>
      <c r="D321" s="47">
        <v>1</v>
      </c>
      <c r="E321" s="46"/>
      <c r="F321" s="46"/>
      <c r="G321" s="46"/>
      <c r="H321" s="56">
        <f>INSUMOS!E17</f>
        <v>9.94</v>
      </c>
      <c r="I321" s="90">
        <f>H321*D321</f>
        <v>9.94</v>
      </c>
    </row>
    <row r="322" spans="2:9" ht="15.95" customHeight="1">
      <c r="B322" s="91" t="s">
        <v>75</v>
      </c>
      <c r="C322" s="71" t="s">
        <v>67</v>
      </c>
      <c r="D322" s="47">
        <v>2</v>
      </c>
      <c r="E322" s="46"/>
      <c r="F322" s="46"/>
      <c r="G322" s="46"/>
      <c r="H322" s="56">
        <f>INSUMOS!E14</f>
        <v>3.42</v>
      </c>
      <c r="I322" s="90">
        <f>H322*D322</f>
        <v>6.84</v>
      </c>
    </row>
    <row r="323" spans="2:9" ht="15.95" customHeight="1">
      <c r="B323" s="635" t="s">
        <v>576</v>
      </c>
      <c r="C323" s="635"/>
      <c r="D323" s="635"/>
      <c r="E323" s="635"/>
      <c r="F323" s="635"/>
      <c r="G323" s="635"/>
      <c r="H323" s="635"/>
      <c r="I323" s="90">
        <f>SUM(I321:I322)*0.9103</f>
        <v>15.27</v>
      </c>
    </row>
    <row r="324" spans="2:9" ht="15.95" customHeight="1">
      <c r="B324" s="628" t="s">
        <v>69</v>
      </c>
      <c r="C324" s="628"/>
      <c r="D324" s="628"/>
      <c r="E324" s="628"/>
      <c r="F324" s="628"/>
      <c r="G324" s="628"/>
      <c r="H324" s="628"/>
      <c r="I324" s="92">
        <f>SUM(I321:I323)</f>
        <v>32.049999999999997</v>
      </c>
    </row>
    <row r="325" spans="2:9" ht="15.95" customHeight="1">
      <c r="B325" s="147" t="s">
        <v>76</v>
      </c>
      <c r="C325" s="148">
        <v>1</v>
      </c>
      <c r="D325" s="636" t="s">
        <v>77</v>
      </c>
      <c r="E325" s="637"/>
      <c r="F325" s="637"/>
      <c r="G325" s="637"/>
      <c r="H325" s="638"/>
      <c r="I325" s="95">
        <f>I308+I314+I318+I324</f>
        <v>109.92</v>
      </c>
    </row>
    <row r="326" spans="2:9" ht="15.95" customHeight="1">
      <c r="B326" s="632"/>
      <c r="C326" s="633"/>
      <c r="D326" s="633"/>
      <c r="E326" s="633"/>
      <c r="F326" s="633"/>
      <c r="G326" s="633"/>
      <c r="H326" s="634"/>
      <c r="I326" s="95">
        <f>I325/C325</f>
        <v>109.92</v>
      </c>
    </row>
    <row r="327" spans="2:9" ht="15.95" customHeight="1">
      <c r="B327" s="139" t="s">
        <v>334</v>
      </c>
      <c r="C327" s="145">
        <f>BDI!C37</f>
        <v>24.5</v>
      </c>
      <c r="D327" s="146" t="s">
        <v>269</v>
      </c>
      <c r="E327" s="136"/>
      <c r="F327" s="136"/>
      <c r="G327" s="136"/>
      <c r="H327" s="137"/>
      <c r="I327" s="90">
        <f>C327/100*I326</f>
        <v>26.93</v>
      </c>
    </row>
    <row r="328" spans="2:9" s="127" customFormat="1" ht="30" customHeight="1" thickBot="1">
      <c r="B328" s="627" t="s">
        <v>78</v>
      </c>
      <c r="C328" s="627"/>
      <c r="D328" s="627"/>
      <c r="E328" s="627"/>
      <c r="F328" s="627"/>
      <c r="G328" s="627"/>
      <c r="H328" s="627"/>
      <c r="I328" s="135">
        <f>SUM(I326:I327)</f>
        <v>136.85</v>
      </c>
    </row>
    <row r="334" spans="2:9" ht="13.5" thickBot="1"/>
    <row r="335" spans="2:9" ht="30" customHeight="1">
      <c r="B335" s="200" t="s">
        <v>55</v>
      </c>
      <c r="C335" s="474" t="str">
        <f>'Planilha Orçamentária'!B33</f>
        <v>2.7</v>
      </c>
      <c r="D335" s="639" t="s">
        <v>56</v>
      </c>
      <c r="E335" s="639"/>
      <c r="F335" s="639"/>
      <c r="G335" s="639"/>
      <c r="H335" s="639"/>
      <c r="I335" s="639"/>
    </row>
    <row r="336" spans="2:9" s="127" customFormat="1" ht="30" customHeight="1">
      <c r="B336" s="640" t="s">
        <v>332</v>
      </c>
      <c r="C336" s="641"/>
      <c r="D336" s="641"/>
      <c r="E336" s="641"/>
      <c r="F336" s="641"/>
      <c r="G336" s="642"/>
      <c r="H336" s="643" t="s">
        <v>700</v>
      </c>
      <c r="I336" s="644"/>
    </row>
    <row r="337" spans="1:9" ht="30" customHeight="1">
      <c r="B337" s="625" t="s">
        <v>124</v>
      </c>
      <c r="C337" s="625"/>
      <c r="D337" s="625"/>
      <c r="E337" s="625"/>
      <c r="F337" s="625"/>
      <c r="G337" s="625"/>
      <c r="H337" s="34" t="s">
        <v>57</v>
      </c>
      <c r="I337" s="126" t="s">
        <v>32</v>
      </c>
    </row>
    <row r="338" spans="1:9" s="127" customFormat="1" ht="30" customHeight="1">
      <c r="B338" s="626" t="s">
        <v>58</v>
      </c>
      <c r="C338" s="626"/>
      <c r="D338" s="626"/>
      <c r="E338" s="626"/>
      <c r="F338" s="626"/>
      <c r="G338" s="626"/>
      <c r="H338" s="626"/>
      <c r="I338" s="626"/>
    </row>
    <row r="339" spans="1:9" ht="25.5">
      <c r="A339" s="93"/>
      <c r="B339" s="35" t="s">
        <v>59</v>
      </c>
      <c r="C339" s="172" t="s">
        <v>5</v>
      </c>
      <c r="D339" s="36" t="s">
        <v>6</v>
      </c>
      <c r="E339" s="36" t="s">
        <v>61</v>
      </c>
      <c r="F339" s="36" t="s">
        <v>62</v>
      </c>
      <c r="G339" s="36" t="s">
        <v>63</v>
      </c>
      <c r="H339" s="36" t="s">
        <v>64</v>
      </c>
      <c r="I339" s="37" t="s">
        <v>65</v>
      </c>
    </row>
    <row r="340" spans="1:9" s="127" customFormat="1" ht="15.95" customHeight="1">
      <c r="B340" s="122" t="s">
        <v>125</v>
      </c>
      <c r="C340" s="88" t="s">
        <v>67</v>
      </c>
      <c r="D340" s="161">
        <v>1.94</v>
      </c>
      <c r="E340" s="47"/>
      <c r="F340" s="47"/>
      <c r="G340" s="56">
        <f>INSUMOS!E58</f>
        <v>2.94</v>
      </c>
      <c r="I340" s="90">
        <f>G340*D340</f>
        <v>5.7</v>
      </c>
    </row>
    <row r="341" spans="1:9">
      <c r="B341" s="628" t="s">
        <v>69</v>
      </c>
      <c r="C341" s="628"/>
      <c r="D341" s="628"/>
      <c r="E341" s="628"/>
      <c r="F341" s="628"/>
      <c r="G341" s="628"/>
      <c r="H341" s="628"/>
      <c r="I341" s="95">
        <f>SUM(I340:I340)</f>
        <v>5.7</v>
      </c>
    </row>
    <row r="342" spans="1:9" s="127" customFormat="1" ht="30" customHeight="1">
      <c r="B342" s="626" t="s">
        <v>70</v>
      </c>
      <c r="C342" s="626"/>
      <c r="D342" s="626"/>
      <c r="E342" s="626"/>
      <c r="F342" s="626"/>
      <c r="G342" s="626"/>
      <c r="H342" s="626"/>
      <c r="I342" s="626"/>
    </row>
    <row r="343" spans="1:9" s="127" customFormat="1" ht="15.95" customHeight="1">
      <c r="B343" s="179" t="s">
        <v>59</v>
      </c>
      <c r="C343" s="180" t="s">
        <v>5</v>
      </c>
      <c r="D343" s="47" t="s">
        <v>6</v>
      </c>
      <c r="E343" s="46"/>
      <c r="F343" s="46"/>
      <c r="G343" s="46"/>
      <c r="H343" s="47" t="s">
        <v>71</v>
      </c>
      <c r="I343" s="90" t="s">
        <v>65</v>
      </c>
    </row>
    <row r="344" spans="1:9" s="127" customFormat="1" ht="15.95" customHeight="1">
      <c r="B344" s="97" t="s">
        <v>126</v>
      </c>
      <c r="C344" s="88" t="s">
        <v>88</v>
      </c>
      <c r="D344" s="89">
        <v>364.36</v>
      </c>
      <c r="E344" s="46"/>
      <c r="F344" s="46"/>
      <c r="G344" s="46"/>
      <c r="H344" s="56">
        <f>INSUMOS!E40</f>
        <v>0.5</v>
      </c>
      <c r="I344" s="90">
        <f>H344*D344</f>
        <v>182.18</v>
      </c>
    </row>
    <row r="345" spans="1:9" s="127" customFormat="1" ht="15.95" customHeight="1">
      <c r="B345" s="97" t="s">
        <v>127</v>
      </c>
      <c r="C345" s="88" t="s">
        <v>32</v>
      </c>
      <c r="D345" s="89">
        <v>1.34</v>
      </c>
      <c r="E345" s="46"/>
      <c r="F345" s="46"/>
      <c r="G345" s="46"/>
      <c r="H345" s="56">
        <f>INSUMOS!E46</f>
        <v>70</v>
      </c>
      <c r="I345" s="90">
        <f>H345*D345</f>
        <v>93.8</v>
      </c>
    </row>
    <row r="346" spans="1:9" s="127" customFormat="1" ht="15.95" customHeight="1">
      <c r="B346" s="628" t="s">
        <v>69</v>
      </c>
      <c r="C346" s="628"/>
      <c r="D346" s="628"/>
      <c r="E346" s="628"/>
      <c r="F346" s="628"/>
      <c r="G346" s="628"/>
      <c r="H346" s="628"/>
      <c r="I346" s="90">
        <f>SUM(I344:I345)</f>
        <v>275.98</v>
      </c>
    </row>
    <row r="347" spans="1:9" s="127" customFormat="1" ht="30" customHeight="1">
      <c r="B347" s="626" t="s">
        <v>72</v>
      </c>
      <c r="C347" s="626"/>
      <c r="D347" s="626"/>
      <c r="E347" s="626"/>
      <c r="F347" s="626"/>
      <c r="G347" s="626"/>
      <c r="H347" s="626"/>
      <c r="I347" s="626"/>
    </row>
    <row r="348" spans="1:9" s="127" customFormat="1" ht="15.95" customHeight="1">
      <c r="B348" s="45" t="s">
        <v>59</v>
      </c>
      <c r="C348" s="71" t="s">
        <v>5</v>
      </c>
      <c r="D348" s="47" t="s">
        <v>6</v>
      </c>
      <c r="E348" s="46"/>
      <c r="F348" s="46"/>
      <c r="G348" s="46"/>
      <c r="H348" s="47" t="s">
        <v>71</v>
      </c>
      <c r="I348" s="90" t="s">
        <v>65</v>
      </c>
    </row>
    <row r="349" spans="1:9" s="127" customFormat="1" ht="15.95" customHeight="1">
      <c r="B349" s="84"/>
      <c r="C349" s="47"/>
      <c r="D349" s="47"/>
      <c r="E349" s="46"/>
      <c r="F349" s="46"/>
      <c r="G349" s="46"/>
      <c r="H349" s="47"/>
      <c r="I349" s="90">
        <f>D349*H349</f>
        <v>0</v>
      </c>
    </row>
    <row r="350" spans="1:9" s="127" customFormat="1" ht="15.95" customHeight="1">
      <c r="B350" s="628" t="s">
        <v>69</v>
      </c>
      <c r="C350" s="628"/>
      <c r="D350" s="628"/>
      <c r="E350" s="628"/>
      <c r="F350" s="628"/>
      <c r="G350" s="628"/>
      <c r="H350" s="628"/>
      <c r="I350" s="90">
        <f>SUM(I349:I349)</f>
        <v>0</v>
      </c>
    </row>
    <row r="351" spans="1:9" s="127" customFormat="1" ht="30" customHeight="1">
      <c r="B351" s="626" t="s">
        <v>74</v>
      </c>
      <c r="C351" s="626"/>
      <c r="D351" s="626"/>
      <c r="E351" s="626"/>
      <c r="F351" s="626"/>
      <c r="G351" s="626"/>
      <c r="H351" s="626"/>
      <c r="I351" s="626"/>
    </row>
    <row r="352" spans="1:9" s="127" customFormat="1" ht="15.95" customHeight="1">
      <c r="B352" s="179" t="s">
        <v>59</v>
      </c>
      <c r="C352" s="180" t="s">
        <v>5</v>
      </c>
      <c r="D352" s="144" t="s">
        <v>6</v>
      </c>
      <c r="E352" s="46"/>
      <c r="F352" s="46"/>
      <c r="G352" s="46"/>
      <c r="H352" s="47" t="s">
        <v>71</v>
      </c>
      <c r="I352" s="90" t="s">
        <v>65</v>
      </c>
    </row>
    <row r="353" spans="2:12" s="127" customFormat="1" ht="15.95" customHeight="1">
      <c r="B353" s="53" t="s">
        <v>75</v>
      </c>
      <c r="C353" s="71" t="s">
        <v>67</v>
      </c>
      <c r="D353" s="47">
        <v>4</v>
      </c>
      <c r="E353" s="46"/>
      <c r="F353" s="46"/>
      <c r="G353" s="46"/>
      <c r="H353" s="56">
        <f>INSUMOS!E14</f>
        <v>3.42</v>
      </c>
      <c r="I353" s="90">
        <f>H353*D353</f>
        <v>13.68</v>
      </c>
    </row>
    <row r="354" spans="2:12" s="127" customFormat="1" ht="15.95" customHeight="1">
      <c r="B354" s="91" t="s">
        <v>128</v>
      </c>
      <c r="C354" s="71" t="s">
        <v>67</v>
      </c>
      <c r="D354" s="47">
        <v>4</v>
      </c>
      <c r="E354" s="46"/>
      <c r="F354" s="46"/>
      <c r="G354" s="46"/>
      <c r="H354" s="56">
        <f>INSUMOS!E19</f>
        <v>4.55</v>
      </c>
      <c r="I354" s="90">
        <f>H354*D354</f>
        <v>18.2</v>
      </c>
    </row>
    <row r="355" spans="2:12" s="127" customFormat="1" ht="15.95" customHeight="1">
      <c r="B355" s="635" t="s">
        <v>576</v>
      </c>
      <c r="C355" s="635"/>
      <c r="D355" s="635"/>
      <c r="E355" s="635"/>
      <c r="F355" s="635"/>
      <c r="G355" s="635"/>
      <c r="H355" s="635"/>
      <c r="I355" s="90">
        <f>SUM(I353:I354)*0.9103</f>
        <v>29.02</v>
      </c>
    </row>
    <row r="356" spans="2:12" s="127" customFormat="1" ht="15.95" customHeight="1">
      <c r="B356" s="628" t="s">
        <v>69</v>
      </c>
      <c r="C356" s="628"/>
      <c r="D356" s="628"/>
      <c r="E356" s="628"/>
      <c r="F356" s="628"/>
      <c r="G356" s="628"/>
      <c r="H356" s="628"/>
      <c r="I356" s="95">
        <f>SUM(I353:I355)</f>
        <v>60.9</v>
      </c>
    </row>
    <row r="357" spans="2:12" s="127" customFormat="1" ht="15.95" customHeight="1">
      <c r="B357" s="147" t="s">
        <v>76</v>
      </c>
      <c r="C357" s="148">
        <v>1.05</v>
      </c>
      <c r="D357" s="636" t="s">
        <v>77</v>
      </c>
      <c r="E357" s="637"/>
      <c r="F357" s="637"/>
      <c r="G357" s="637"/>
      <c r="H357" s="638"/>
      <c r="I357" s="95">
        <f>I341+I346+I350+I356</f>
        <v>342.58</v>
      </c>
    </row>
    <row r="358" spans="2:12" s="127" customFormat="1" ht="15.95" customHeight="1">
      <c r="B358" s="632"/>
      <c r="C358" s="633"/>
      <c r="D358" s="633"/>
      <c r="E358" s="633"/>
      <c r="F358" s="633"/>
      <c r="G358" s="633"/>
      <c r="H358" s="634"/>
      <c r="I358" s="95">
        <f>I357/C357</f>
        <v>326.27</v>
      </c>
      <c r="K358" s="127">
        <v>321.87</v>
      </c>
      <c r="L358" s="199" t="s">
        <v>341</v>
      </c>
    </row>
    <row r="359" spans="2:12" s="127" customFormat="1" ht="15.95" customHeight="1">
      <c r="B359" s="139" t="s">
        <v>334</v>
      </c>
      <c r="C359" s="145">
        <f>BDI!C37</f>
        <v>24.5</v>
      </c>
      <c r="D359" s="146" t="s">
        <v>269</v>
      </c>
      <c r="E359" s="136"/>
      <c r="F359" s="136"/>
      <c r="G359" s="136"/>
      <c r="H359" s="137"/>
      <c r="I359" s="90">
        <f>C359/100*I358</f>
        <v>79.94</v>
      </c>
      <c r="L359" s="199"/>
    </row>
    <row r="360" spans="2:12" s="127" customFormat="1" ht="30" customHeight="1" thickBot="1">
      <c r="B360" s="627" t="s">
        <v>78</v>
      </c>
      <c r="C360" s="627"/>
      <c r="D360" s="627"/>
      <c r="E360" s="627"/>
      <c r="F360" s="627"/>
      <c r="G360" s="627"/>
      <c r="H360" s="627"/>
      <c r="I360" s="135">
        <f>SUM(I358:I359)</f>
        <v>406.21</v>
      </c>
    </row>
    <row r="366" spans="2:12" ht="13.5" thickBot="1"/>
    <row r="367" spans="2:12" s="127" customFormat="1" ht="30" customHeight="1">
      <c r="B367" s="200" t="s">
        <v>55</v>
      </c>
      <c r="C367" s="474" t="str">
        <f>'Planilha Orçamentária'!B34</f>
        <v>2.8</v>
      </c>
      <c r="D367" s="639" t="s">
        <v>56</v>
      </c>
      <c r="E367" s="639"/>
      <c r="F367" s="639"/>
      <c r="G367" s="639"/>
      <c r="H367" s="639"/>
      <c r="I367" s="639"/>
    </row>
    <row r="368" spans="2:12" s="127" customFormat="1" ht="30" customHeight="1">
      <c r="B368" s="655" t="s">
        <v>332</v>
      </c>
      <c r="C368" s="656"/>
      <c r="D368" s="656"/>
      <c r="E368" s="656"/>
      <c r="F368" s="656"/>
      <c r="G368" s="657"/>
      <c r="H368" s="674" t="s">
        <v>700</v>
      </c>
      <c r="I368" s="675"/>
    </row>
    <row r="369" spans="1:9" s="127" customFormat="1" ht="30" customHeight="1">
      <c r="B369" s="648" t="s">
        <v>470</v>
      </c>
      <c r="C369" s="648"/>
      <c r="D369" s="648"/>
      <c r="E369" s="648"/>
      <c r="F369" s="648"/>
      <c r="G369" s="648"/>
      <c r="H369" s="313" t="s">
        <v>57</v>
      </c>
      <c r="I369" s="126" t="s">
        <v>379</v>
      </c>
    </row>
    <row r="370" spans="1:9" s="127" customFormat="1" ht="30" customHeight="1">
      <c r="B370" s="626" t="s">
        <v>58</v>
      </c>
      <c r="C370" s="626"/>
      <c r="D370" s="626"/>
      <c r="E370" s="626"/>
      <c r="F370" s="626"/>
      <c r="G370" s="626"/>
      <c r="H370" s="626"/>
      <c r="I370" s="626"/>
    </row>
    <row r="371" spans="1:9" ht="25.5">
      <c r="A371" s="93"/>
      <c r="B371" s="35" t="s">
        <v>59</v>
      </c>
      <c r="C371" s="172" t="s">
        <v>5</v>
      </c>
      <c r="D371" s="36" t="s">
        <v>6</v>
      </c>
      <c r="E371" s="36" t="s">
        <v>61</v>
      </c>
      <c r="F371" s="36" t="s">
        <v>62</v>
      </c>
      <c r="G371" s="36" t="s">
        <v>63</v>
      </c>
      <c r="H371" s="36" t="s">
        <v>64</v>
      </c>
      <c r="I371" s="37" t="s">
        <v>65</v>
      </c>
    </row>
    <row r="372" spans="1:9" ht="15.95" customHeight="1">
      <c r="B372" s="84" t="s">
        <v>102</v>
      </c>
      <c r="C372" s="85" t="s">
        <v>67</v>
      </c>
      <c r="D372" s="241">
        <v>4</v>
      </c>
      <c r="E372" s="58"/>
      <c r="F372" s="58"/>
      <c r="G372" s="56">
        <f>INSUMOS!E101</f>
        <v>13.73</v>
      </c>
      <c r="I372" s="90">
        <f>G372*D372</f>
        <v>54.92</v>
      </c>
    </row>
    <row r="373" spans="1:9">
      <c r="B373" s="628" t="s">
        <v>69</v>
      </c>
      <c r="C373" s="628"/>
      <c r="D373" s="628"/>
      <c r="E373" s="628"/>
      <c r="F373" s="628"/>
      <c r="G373" s="628"/>
      <c r="H373" s="628"/>
      <c r="I373" s="95">
        <f>SUM(I372:I372)</f>
        <v>54.92</v>
      </c>
    </row>
    <row r="374" spans="1:9" s="127" customFormat="1" ht="30" customHeight="1">
      <c r="B374" s="626" t="s">
        <v>70</v>
      </c>
      <c r="C374" s="626"/>
      <c r="D374" s="626"/>
      <c r="E374" s="626"/>
      <c r="F374" s="626"/>
      <c r="G374" s="626"/>
      <c r="H374" s="626"/>
      <c r="I374" s="626"/>
    </row>
    <row r="375" spans="1:9" ht="15.95" customHeight="1">
      <c r="B375" s="179" t="s">
        <v>59</v>
      </c>
      <c r="C375" s="180" t="s">
        <v>5</v>
      </c>
      <c r="D375" s="47" t="s">
        <v>6</v>
      </c>
      <c r="E375" s="46"/>
      <c r="F375" s="46"/>
      <c r="G375" s="46"/>
      <c r="H375" s="47" t="s">
        <v>71</v>
      </c>
      <c r="I375" s="90" t="s">
        <v>65</v>
      </c>
    </row>
    <row r="376" spans="1:9" ht="15.95" customHeight="1">
      <c r="B376" s="97" t="s">
        <v>98</v>
      </c>
      <c r="C376" s="88" t="s">
        <v>94</v>
      </c>
      <c r="D376" s="89">
        <v>7.5</v>
      </c>
      <c r="E376" s="46"/>
      <c r="F376" s="46"/>
      <c r="G376" s="46"/>
      <c r="H376" s="56">
        <f>INSUMOS!E32</f>
        <v>2.38</v>
      </c>
      <c r="I376" s="90">
        <f>H376*D376</f>
        <v>17.850000000000001</v>
      </c>
    </row>
    <row r="377" spans="1:9" ht="15.95" customHeight="1">
      <c r="B377" s="97" t="s">
        <v>109</v>
      </c>
      <c r="C377" s="88" t="s">
        <v>94</v>
      </c>
      <c r="D377" s="89">
        <v>0.28000000000000003</v>
      </c>
      <c r="E377" s="46"/>
      <c r="F377" s="46"/>
      <c r="G377" s="46"/>
      <c r="H377" s="56">
        <f>INSUMOS!E33</f>
        <v>14</v>
      </c>
      <c r="I377" s="90">
        <f>H377*D377</f>
        <v>3.92</v>
      </c>
    </row>
    <row r="378" spans="1:9" ht="15.95" customHeight="1">
      <c r="B378" s="628" t="s">
        <v>69</v>
      </c>
      <c r="C378" s="628"/>
      <c r="D378" s="628"/>
      <c r="E378" s="628"/>
      <c r="F378" s="628"/>
      <c r="G378" s="628"/>
      <c r="H378" s="628"/>
      <c r="I378" s="90">
        <f>SUM(I376:I377)</f>
        <v>21.77</v>
      </c>
    </row>
    <row r="379" spans="1:9" s="127" customFormat="1" ht="30" customHeight="1">
      <c r="B379" s="626" t="s">
        <v>72</v>
      </c>
      <c r="C379" s="626"/>
      <c r="D379" s="626"/>
      <c r="E379" s="626"/>
      <c r="F379" s="626"/>
      <c r="G379" s="626"/>
      <c r="H379" s="626"/>
      <c r="I379" s="626"/>
    </row>
    <row r="380" spans="1:9" ht="15.95" customHeight="1">
      <c r="B380" s="45" t="s">
        <v>59</v>
      </c>
      <c r="C380" s="71" t="s">
        <v>5</v>
      </c>
      <c r="D380" s="47" t="s">
        <v>6</v>
      </c>
      <c r="E380" s="46"/>
      <c r="F380" s="46"/>
      <c r="G380" s="46"/>
      <c r="H380" s="47" t="s">
        <v>71</v>
      </c>
      <c r="I380" s="90" t="s">
        <v>65</v>
      </c>
    </row>
    <row r="381" spans="1:9" ht="15.95" customHeight="1">
      <c r="B381" s="48"/>
      <c r="C381" s="47"/>
      <c r="D381" s="47"/>
      <c r="E381" s="46"/>
      <c r="F381" s="46"/>
      <c r="G381" s="46"/>
      <c r="H381" s="47"/>
      <c r="I381" s="90">
        <f>D381*H381</f>
        <v>0</v>
      </c>
    </row>
    <row r="382" spans="1:9" ht="15.95" customHeight="1">
      <c r="B382" s="628" t="s">
        <v>69</v>
      </c>
      <c r="C382" s="628"/>
      <c r="D382" s="628"/>
      <c r="E382" s="628"/>
      <c r="F382" s="628"/>
      <c r="G382" s="628"/>
      <c r="H382" s="628"/>
      <c r="I382" s="90">
        <f>SUM(I381:I381)</f>
        <v>0</v>
      </c>
    </row>
    <row r="383" spans="1:9" s="127" customFormat="1" ht="30" customHeight="1">
      <c r="B383" s="626" t="s">
        <v>74</v>
      </c>
      <c r="C383" s="626"/>
      <c r="D383" s="626"/>
      <c r="E383" s="626"/>
      <c r="F383" s="626"/>
      <c r="G383" s="626"/>
      <c r="H383" s="626"/>
      <c r="I383" s="626"/>
    </row>
    <row r="384" spans="1:9" ht="15.95" customHeight="1">
      <c r="B384" s="179" t="s">
        <v>59</v>
      </c>
      <c r="C384" s="180" t="s">
        <v>5</v>
      </c>
      <c r="D384" s="144" t="s">
        <v>6</v>
      </c>
      <c r="E384" s="46"/>
      <c r="F384" s="46"/>
      <c r="G384" s="46"/>
      <c r="H384" s="47" t="s">
        <v>71</v>
      </c>
      <c r="I384" s="90" t="s">
        <v>65</v>
      </c>
    </row>
    <row r="385" spans="2:9" ht="15.95" customHeight="1">
      <c r="B385" s="99" t="s">
        <v>110</v>
      </c>
      <c r="C385" s="83" t="s">
        <v>67</v>
      </c>
      <c r="D385" s="49">
        <v>1</v>
      </c>
      <c r="E385" s="59"/>
      <c r="F385" s="59"/>
      <c r="G385" s="59"/>
      <c r="H385" s="52">
        <f>INSUMOS!E23</f>
        <v>7.65</v>
      </c>
      <c r="I385" s="100">
        <f>H385*D385</f>
        <v>7.65</v>
      </c>
    </row>
    <row r="386" spans="2:9" ht="15.95" customHeight="1">
      <c r="B386" s="91" t="s">
        <v>75</v>
      </c>
      <c r="C386" s="71" t="s">
        <v>67</v>
      </c>
      <c r="D386" s="47">
        <v>2</v>
      </c>
      <c r="E386" s="42"/>
      <c r="F386" s="42"/>
      <c r="G386" s="42"/>
      <c r="H386" s="56">
        <f>INSUMOS!E14</f>
        <v>3.42</v>
      </c>
      <c r="I386" s="90">
        <f>H386*D386</f>
        <v>6.84</v>
      </c>
    </row>
    <row r="387" spans="2:9" ht="15.95" customHeight="1">
      <c r="B387" s="635" t="s">
        <v>576</v>
      </c>
      <c r="C387" s="635"/>
      <c r="D387" s="635"/>
      <c r="E387" s="635"/>
      <c r="F387" s="635"/>
      <c r="G387" s="635"/>
      <c r="H387" s="635"/>
      <c r="I387" s="90">
        <f>SUM(I385:I386)*0.9103</f>
        <v>13.19</v>
      </c>
    </row>
    <row r="388" spans="2:9" ht="15.95" customHeight="1">
      <c r="B388" s="628" t="s">
        <v>69</v>
      </c>
      <c r="C388" s="628"/>
      <c r="D388" s="628"/>
      <c r="E388" s="628"/>
      <c r="F388" s="628"/>
      <c r="G388" s="628"/>
      <c r="H388" s="628"/>
      <c r="I388" s="95">
        <f>SUM(I385:I387)</f>
        <v>27.68</v>
      </c>
    </row>
    <row r="389" spans="2:9" ht="15.95" customHeight="1">
      <c r="B389" s="147" t="s">
        <v>76</v>
      </c>
      <c r="C389" s="148">
        <v>1</v>
      </c>
      <c r="D389" s="636" t="s">
        <v>77</v>
      </c>
      <c r="E389" s="637"/>
      <c r="F389" s="637"/>
      <c r="G389" s="637"/>
      <c r="H389" s="638"/>
      <c r="I389" s="95">
        <f>I373+I378+I382+I388</f>
        <v>104.37</v>
      </c>
    </row>
    <row r="390" spans="2:9" ht="15.95" customHeight="1">
      <c r="B390" s="632"/>
      <c r="C390" s="633"/>
      <c r="D390" s="633"/>
      <c r="E390" s="633"/>
      <c r="F390" s="633"/>
      <c r="G390" s="633"/>
      <c r="H390" s="634"/>
      <c r="I390" s="95">
        <f>I389/C389</f>
        <v>104.37</v>
      </c>
    </row>
    <row r="391" spans="2:9" ht="15.95" customHeight="1">
      <c r="B391" s="139" t="s">
        <v>334</v>
      </c>
      <c r="C391" s="145">
        <f>BDI!C37</f>
        <v>24.5</v>
      </c>
      <c r="D391" s="146" t="s">
        <v>269</v>
      </c>
      <c r="E391" s="136"/>
      <c r="F391" s="136"/>
      <c r="G391" s="136"/>
      <c r="H391" s="137"/>
      <c r="I391" s="90">
        <f>C391/100*I390</f>
        <v>25.57</v>
      </c>
    </row>
    <row r="392" spans="2:9" s="127" customFormat="1" ht="30" customHeight="1" thickBot="1">
      <c r="B392" s="627" t="s">
        <v>78</v>
      </c>
      <c r="C392" s="627"/>
      <c r="D392" s="627"/>
      <c r="E392" s="627"/>
      <c r="F392" s="627"/>
      <c r="G392" s="627"/>
      <c r="H392" s="627"/>
      <c r="I392" s="135">
        <f>SUM(I390:I391)</f>
        <v>129.94</v>
      </c>
    </row>
    <row r="397" spans="2:9" ht="13.5" thickBot="1"/>
    <row r="398" spans="2:9" s="127" customFormat="1" ht="30" customHeight="1">
      <c r="B398" s="200" t="s">
        <v>55</v>
      </c>
      <c r="C398" s="474" t="str">
        <f>'Planilha Orçamentária'!B35</f>
        <v>2.9</v>
      </c>
      <c r="D398" s="639" t="s">
        <v>56</v>
      </c>
      <c r="E398" s="639"/>
      <c r="F398" s="639"/>
      <c r="G398" s="639"/>
      <c r="H398" s="639"/>
      <c r="I398" s="639"/>
    </row>
    <row r="399" spans="2:9" s="127" customFormat="1" ht="30" customHeight="1">
      <c r="B399" s="655" t="s">
        <v>332</v>
      </c>
      <c r="C399" s="656"/>
      <c r="D399" s="656"/>
      <c r="E399" s="656"/>
      <c r="F399" s="656"/>
      <c r="G399" s="657"/>
      <c r="H399" s="674" t="s">
        <v>700</v>
      </c>
      <c r="I399" s="675"/>
    </row>
    <row r="400" spans="2:9" s="127" customFormat="1" ht="30" customHeight="1">
      <c r="B400" s="648" t="s">
        <v>421</v>
      </c>
      <c r="C400" s="648"/>
      <c r="D400" s="648"/>
      <c r="E400" s="648"/>
      <c r="F400" s="648"/>
      <c r="G400" s="648"/>
      <c r="H400" s="313" t="s">
        <v>57</v>
      </c>
      <c r="I400" s="126" t="s">
        <v>379</v>
      </c>
    </row>
    <row r="401" spans="1:9" s="127" customFormat="1" ht="30" customHeight="1">
      <c r="B401" s="626" t="s">
        <v>58</v>
      </c>
      <c r="C401" s="626"/>
      <c r="D401" s="626"/>
      <c r="E401" s="626"/>
      <c r="F401" s="626"/>
      <c r="G401" s="626"/>
      <c r="H401" s="626"/>
      <c r="I401" s="626"/>
    </row>
    <row r="402" spans="1:9" ht="25.5">
      <c r="A402" s="93"/>
      <c r="B402" s="35" t="s">
        <v>59</v>
      </c>
      <c r="C402" s="172" t="s">
        <v>5</v>
      </c>
      <c r="D402" s="36" t="s">
        <v>6</v>
      </c>
      <c r="E402" s="36" t="s">
        <v>61</v>
      </c>
      <c r="F402" s="36" t="s">
        <v>62</v>
      </c>
      <c r="G402" s="36" t="s">
        <v>63</v>
      </c>
      <c r="H402" s="36" t="s">
        <v>64</v>
      </c>
      <c r="I402" s="37" t="s">
        <v>65</v>
      </c>
    </row>
    <row r="403" spans="1:9" ht="15" customHeight="1">
      <c r="B403" s="84" t="s">
        <v>102</v>
      </c>
      <c r="C403" s="85" t="s">
        <v>67</v>
      </c>
      <c r="D403" s="241">
        <v>8</v>
      </c>
      <c r="E403" s="58"/>
      <c r="F403" s="58"/>
      <c r="G403" s="56">
        <f>INSUMOS!E101</f>
        <v>13.73</v>
      </c>
      <c r="I403" s="90">
        <f>G403*D403</f>
        <v>109.84</v>
      </c>
    </row>
    <row r="404" spans="1:9" ht="15" customHeight="1">
      <c r="B404" s="628" t="s">
        <v>69</v>
      </c>
      <c r="C404" s="628"/>
      <c r="D404" s="628"/>
      <c r="E404" s="628"/>
      <c r="F404" s="628"/>
      <c r="G404" s="628"/>
      <c r="H404" s="628"/>
      <c r="I404" s="95">
        <f>SUM(I403:I403)</f>
        <v>109.84</v>
      </c>
    </row>
    <row r="405" spans="1:9" s="127" customFormat="1" ht="30" customHeight="1">
      <c r="B405" s="626" t="s">
        <v>70</v>
      </c>
      <c r="C405" s="626"/>
      <c r="D405" s="626"/>
      <c r="E405" s="626"/>
      <c r="F405" s="626"/>
      <c r="G405" s="626"/>
      <c r="H405" s="626"/>
      <c r="I405" s="626"/>
    </row>
    <row r="406" spans="1:9" ht="15.95" customHeight="1">
      <c r="B406" s="179" t="s">
        <v>59</v>
      </c>
      <c r="C406" s="180" t="s">
        <v>5</v>
      </c>
      <c r="D406" s="47" t="s">
        <v>6</v>
      </c>
      <c r="E406" s="46"/>
      <c r="F406" s="46"/>
      <c r="G406" s="46"/>
      <c r="H406" s="47" t="s">
        <v>71</v>
      </c>
      <c r="I406" s="90" t="s">
        <v>65</v>
      </c>
    </row>
    <row r="407" spans="1:9" ht="15.95" customHeight="1">
      <c r="B407" s="97" t="s">
        <v>98</v>
      </c>
      <c r="C407" s="88" t="s">
        <v>94</v>
      </c>
      <c r="D407" s="89">
        <v>15</v>
      </c>
      <c r="E407" s="46"/>
      <c r="F407" s="46"/>
      <c r="G407" s="46"/>
      <c r="H407" s="56">
        <f>INSUMOS!E32</f>
        <v>2.38</v>
      </c>
      <c r="I407" s="90">
        <f>H407*D407</f>
        <v>35.700000000000003</v>
      </c>
    </row>
    <row r="408" spans="1:9" ht="15.95" customHeight="1">
      <c r="B408" s="97" t="s">
        <v>109</v>
      </c>
      <c r="C408" s="88" t="s">
        <v>94</v>
      </c>
      <c r="D408" s="89">
        <v>0.45</v>
      </c>
      <c r="E408" s="46"/>
      <c r="F408" s="46"/>
      <c r="G408" s="46"/>
      <c r="H408" s="56">
        <f>INSUMOS!E33</f>
        <v>14</v>
      </c>
      <c r="I408" s="90">
        <f>H408*D408</f>
        <v>6.3</v>
      </c>
    </row>
    <row r="409" spans="1:9" ht="15.95" customHeight="1">
      <c r="B409" s="628" t="s">
        <v>69</v>
      </c>
      <c r="C409" s="628"/>
      <c r="D409" s="628"/>
      <c r="E409" s="628"/>
      <c r="F409" s="628"/>
      <c r="G409" s="628"/>
      <c r="H409" s="628"/>
      <c r="I409" s="90">
        <f>SUM(I407:I408)</f>
        <v>42</v>
      </c>
    </row>
    <row r="410" spans="1:9" s="127" customFormat="1" ht="30" customHeight="1">
      <c r="B410" s="626" t="s">
        <v>72</v>
      </c>
      <c r="C410" s="626"/>
      <c r="D410" s="626"/>
      <c r="E410" s="626"/>
      <c r="F410" s="626"/>
      <c r="G410" s="626"/>
      <c r="H410" s="626"/>
      <c r="I410" s="626"/>
    </row>
    <row r="411" spans="1:9" ht="15.95" customHeight="1">
      <c r="B411" s="45" t="s">
        <v>59</v>
      </c>
      <c r="C411" s="71" t="s">
        <v>5</v>
      </c>
      <c r="D411" s="47" t="s">
        <v>6</v>
      </c>
      <c r="E411" s="46"/>
      <c r="F411" s="46"/>
      <c r="G411" s="46"/>
      <c r="H411" s="47" t="s">
        <v>71</v>
      </c>
      <c r="I411" s="90" t="s">
        <v>65</v>
      </c>
    </row>
    <row r="412" spans="1:9" ht="15.95" customHeight="1">
      <c r="B412" s="48"/>
      <c r="C412" s="47"/>
      <c r="D412" s="47"/>
      <c r="E412" s="46"/>
      <c r="F412" s="46"/>
      <c r="G412" s="46"/>
      <c r="H412" s="47"/>
      <c r="I412" s="90">
        <f>D412*H412</f>
        <v>0</v>
      </c>
    </row>
    <row r="413" spans="1:9" ht="15.95" customHeight="1">
      <c r="B413" s="628" t="s">
        <v>69</v>
      </c>
      <c r="C413" s="628"/>
      <c r="D413" s="628"/>
      <c r="E413" s="628"/>
      <c r="F413" s="628"/>
      <c r="G413" s="628"/>
      <c r="H413" s="628"/>
      <c r="I413" s="90">
        <f>SUM(I412:I412)</f>
        <v>0</v>
      </c>
    </row>
    <row r="414" spans="1:9" s="127" customFormat="1" ht="30" customHeight="1">
      <c r="B414" s="626" t="s">
        <v>74</v>
      </c>
      <c r="C414" s="626"/>
      <c r="D414" s="626"/>
      <c r="E414" s="626"/>
      <c r="F414" s="626"/>
      <c r="G414" s="626"/>
      <c r="H414" s="626"/>
      <c r="I414" s="626"/>
    </row>
    <row r="415" spans="1:9" ht="15.95" customHeight="1">
      <c r="B415" s="179" t="s">
        <v>59</v>
      </c>
      <c r="C415" s="180" t="s">
        <v>5</v>
      </c>
      <c r="D415" s="144" t="s">
        <v>6</v>
      </c>
      <c r="E415" s="46"/>
      <c r="F415" s="46"/>
      <c r="G415" s="46"/>
      <c r="H415" s="47" t="s">
        <v>71</v>
      </c>
      <c r="I415" s="90" t="s">
        <v>65</v>
      </c>
    </row>
    <row r="416" spans="1:9" ht="15.95" customHeight="1">
      <c r="B416" s="99" t="s">
        <v>110</v>
      </c>
      <c r="C416" s="83" t="s">
        <v>67</v>
      </c>
      <c r="D416" s="49">
        <v>1</v>
      </c>
      <c r="E416" s="50"/>
      <c r="F416" s="50"/>
      <c r="G416" s="50"/>
      <c r="H416" s="56">
        <f>INSUMOS!E17</f>
        <v>9.94</v>
      </c>
      <c r="I416" s="87">
        <f>H416*D416</f>
        <v>9.94</v>
      </c>
    </row>
    <row r="417" spans="2:9" ht="15.95" customHeight="1">
      <c r="B417" s="91" t="s">
        <v>75</v>
      </c>
      <c r="C417" s="71" t="s">
        <v>67</v>
      </c>
      <c r="D417" s="47">
        <v>4</v>
      </c>
      <c r="E417" s="46"/>
      <c r="F417" s="46"/>
      <c r="G417" s="46"/>
      <c r="H417" s="56">
        <f>INSUMOS!E14</f>
        <v>3.42</v>
      </c>
      <c r="I417" s="90">
        <f>H417*D417</f>
        <v>13.68</v>
      </c>
    </row>
    <row r="418" spans="2:9" ht="15.95" customHeight="1">
      <c r="B418" s="635" t="s">
        <v>576</v>
      </c>
      <c r="C418" s="635"/>
      <c r="D418" s="635"/>
      <c r="E418" s="635"/>
      <c r="F418" s="635"/>
      <c r="G418" s="635"/>
      <c r="H418" s="635"/>
      <c r="I418" s="90">
        <f>SUM(I416:I417)*0.9103</f>
        <v>21.5</v>
      </c>
    </row>
    <row r="419" spans="2:9" ht="15.95" customHeight="1">
      <c r="B419" s="628" t="s">
        <v>69</v>
      </c>
      <c r="C419" s="628"/>
      <c r="D419" s="628"/>
      <c r="E419" s="628"/>
      <c r="F419" s="628"/>
      <c r="G419" s="628"/>
      <c r="H419" s="628"/>
      <c r="I419" s="95">
        <f>SUM(I416:I418)</f>
        <v>45.12</v>
      </c>
    </row>
    <row r="420" spans="2:9" ht="15.95" customHeight="1">
      <c r="B420" s="147" t="s">
        <v>76</v>
      </c>
      <c r="C420" s="148">
        <v>1</v>
      </c>
      <c r="D420" s="636" t="s">
        <v>77</v>
      </c>
      <c r="E420" s="637"/>
      <c r="F420" s="637"/>
      <c r="G420" s="637"/>
      <c r="H420" s="638"/>
      <c r="I420" s="95">
        <f>I404+I409+I413+I419</f>
        <v>196.96</v>
      </c>
    </row>
    <row r="421" spans="2:9" ht="15.95" customHeight="1">
      <c r="B421" s="632"/>
      <c r="C421" s="633"/>
      <c r="D421" s="633"/>
      <c r="E421" s="633"/>
      <c r="F421" s="633"/>
      <c r="G421" s="633"/>
      <c r="H421" s="634"/>
      <c r="I421" s="95">
        <f>I420/C420</f>
        <v>196.96</v>
      </c>
    </row>
    <row r="422" spans="2:9" ht="15.95" customHeight="1">
      <c r="B422" s="139" t="s">
        <v>334</v>
      </c>
      <c r="C422" s="145">
        <f>BDI!C37</f>
        <v>24.5</v>
      </c>
      <c r="D422" s="146" t="s">
        <v>269</v>
      </c>
      <c r="E422" s="136"/>
      <c r="F422" s="136"/>
      <c r="G422" s="136"/>
      <c r="H422" s="137"/>
      <c r="I422" s="90">
        <f>C422/100*I421</f>
        <v>48.26</v>
      </c>
    </row>
    <row r="423" spans="2:9" s="127" customFormat="1" ht="30" customHeight="1" thickBot="1">
      <c r="B423" s="627" t="s">
        <v>78</v>
      </c>
      <c r="C423" s="627"/>
      <c r="D423" s="627"/>
      <c r="E423" s="627"/>
      <c r="F423" s="627"/>
      <c r="G423" s="627"/>
      <c r="H423" s="627"/>
      <c r="I423" s="135">
        <f>SUM(I421:I422)</f>
        <v>245.22</v>
      </c>
    </row>
    <row r="429" spans="2:9" ht="13.5" thickBot="1"/>
    <row r="430" spans="2:9" s="127" customFormat="1" ht="30" customHeight="1">
      <c r="B430" s="200" t="s">
        <v>55</v>
      </c>
      <c r="C430" s="474" t="str">
        <f>'Planilha Orçamentária'!B36</f>
        <v>2.10</v>
      </c>
      <c r="D430" s="639" t="s">
        <v>56</v>
      </c>
      <c r="E430" s="639"/>
      <c r="F430" s="639"/>
      <c r="G430" s="639"/>
      <c r="H430" s="639"/>
      <c r="I430" s="639"/>
    </row>
    <row r="431" spans="2:9" s="127" customFormat="1" ht="30" customHeight="1">
      <c r="B431" s="640" t="s">
        <v>332</v>
      </c>
      <c r="C431" s="641"/>
      <c r="D431" s="641"/>
      <c r="E431" s="641"/>
      <c r="F431" s="641"/>
      <c r="G431" s="642"/>
      <c r="H431" s="643" t="s">
        <v>700</v>
      </c>
      <c r="I431" s="644"/>
    </row>
    <row r="432" spans="2:9" s="127" customFormat="1" ht="30" customHeight="1">
      <c r="B432" s="645" t="s">
        <v>397</v>
      </c>
      <c r="C432" s="646"/>
      <c r="D432" s="646"/>
      <c r="E432" s="646"/>
      <c r="F432" s="646"/>
      <c r="G432" s="647"/>
      <c r="H432" s="34" t="s">
        <v>57</v>
      </c>
      <c r="I432" s="126" t="s">
        <v>379</v>
      </c>
    </row>
    <row r="433" spans="1:11" s="127" customFormat="1" ht="30" customHeight="1">
      <c r="B433" s="626" t="s">
        <v>58</v>
      </c>
      <c r="C433" s="626"/>
      <c r="D433" s="626"/>
      <c r="E433" s="626"/>
      <c r="F433" s="626"/>
      <c r="G433" s="626"/>
      <c r="H433" s="626"/>
      <c r="I433" s="626"/>
    </row>
    <row r="434" spans="1:11" ht="25.5">
      <c r="A434" s="93"/>
      <c r="B434" s="35" t="s">
        <v>59</v>
      </c>
      <c r="C434" s="172" t="s">
        <v>5</v>
      </c>
      <c r="D434" s="36" t="s">
        <v>6</v>
      </c>
      <c r="E434" s="36" t="s">
        <v>61</v>
      </c>
      <c r="F434" s="36" t="s">
        <v>62</v>
      </c>
      <c r="G434" s="36" t="s">
        <v>63</v>
      </c>
      <c r="H434" s="36" t="s">
        <v>64</v>
      </c>
      <c r="I434" s="37" t="s">
        <v>65</v>
      </c>
    </row>
    <row r="435" spans="1:11" ht="15.95" customHeight="1">
      <c r="B435" s="97"/>
      <c r="C435" s="39"/>
      <c r="D435" s="140"/>
      <c r="E435" s="40"/>
      <c r="F435" s="40"/>
      <c r="G435" s="40"/>
      <c r="H435" s="40"/>
      <c r="I435" s="87">
        <f>D435*E435*G435+D435*F435*H435</f>
        <v>0</v>
      </c>
    </row>
    <row r="436" spans="1:11" ht="15.95" customHeight="1">
      <c r="B436" s="628" t="s">
        <v>69</v>
      </c>
      <c r="C436" s="628"/>
      <c r="D436" s="628"/>
      <c r="E436" s="628"/>
      <c r="F436" s="628"/>
      <c r="G436" s="628"/>
      <c r="H436" s="628"/>
      <c r="I436" s="95">
        <f>SUM(I435:I435)</f>
        <v>0</v>
      </c>
    </row>
    <row r="437" spans="1:11" s="127" customFormat="1" ht="30" customHeight="1">
      <c r="B437" s="626" t="s">
        <v>70</v>
      </c>
      <c r="C437" s="626"/>
      <c r="D437" s="626"/>
      <c r="E437" s="626"/>
      <c r="F437" s="626"/>
      <c r="G437" s="626"/>
      <c r="H437" s="626"/>
      <c r="I437" s="626"/>
    </row>
    <row r="438" spans="1:11" ht="15.95" customHeight="1">
      <c r="B438" s="96" t="s">
        <v>59</v>
      </c>
      <c r="C438" s="78" t="s">
        <v>5</v>
      </c>
      <c r="D438" s="40" t="s">
        <v>6</v>
      </c>
      <c r="E438" s="42"/>
      <c r="F438" s="42"/>
      <c r="G438" s="42"/>
      <c r="H438" s="40" t="s">
        <v>71</v>
      </c>
      <c r="I438" s="43" t="s">
        <v>65</v>
      </c>
    </row>
    <row r="439" spans="1:11" ht="15.95" customHeight="1">
      <c r="B439" s="84" t="s">
        <v>398</v>
      </c>
      <c r="C439" s="145" t="s">
        <v>379</v>
      </c>
      <c r="D439" s="86">
        <v>1</v>
      </c>
      <c r="E439" s="50"/>
      <c r="F439" s="50"/>
      <c r="G439" s="50"/>
      <c r="H439" s="56">
        <f>INSUMOS!E91</f>
        <v>61</v>
      </c>
      <c r="I439" s="90">
        <f>H439*D439</f>
        <v>61</v>
      </c>
      <c r="K439" s="51" t="s">
        <v>108</v>
      </c>
    </row>
    <row r="440" spans="1:11" ht="15.95" customHeight="1">
      <c r="B440" s="97" t="s">
        <v>107</v>
      </c>
      <c r="C440" s="88" t="s">
        <v>94</v>
      </c>
      <c r="D440" s="89">
        <v>0.01</v>
      </c>
      <c r="E440" s="46"/>
      <c r="F440" s="46"/>
      <c r="G440" s="46"/>
      <c r="H440" s="56">
        <f>INSUMOS!E33</f>
        <v>14</v>
      </c>
      <c r="I440" s="90">
        <f>H440*D440</f>
        <v>0.14000000000000001</v>
      </c>
    </row>
    <row r="441" spans="1:11" ht="15.95" customHeight="1">
      <c r="B441" s="99" t="s">
        <v>399</v>
      </c>
      <c r="C441" s="145" t="s">
        <v>379</v>
      </c>
      <c r="D441" s="86">
        <v>1</v>
      </c>
      <c r="E441" s="50"/>
      <c r="F441" s="50"/>
      <c r="G441" s="50"/>
      <c r="H441" s="56">
        <f>INSUMOS!E94</f>
        <v>6.18</v>
      </c>
      <c r="I441" s="90">
        <f>H441*D441</f>
        <v>6.18</v>
      </c>
    </row>
    <row r="442" spans="1:11" ht="15.95" customHeight="1">
      <c r="B442" s="628" t="s">
        <v>69</v>
      </c>
      <c r="C442" s="628"/>
      <c r="D442" s="628"/>
      <c r="E442" s="628"/>
      <c r="F442" s="628"/>
      <c r="G442" s="628"/>
      <c r="H442" s="628"/>
      <c r="I442" s="90">
        <f>SUM(I439:I441)</f>
        <v>67.319999999999993</v>
      </c>
    </row>
    <row r="443" spans="1:11" s="127" customFormat="1" ht="30" customHeight="1">
      <c r="B443" s="626" t="s">
        <v>72</v>
      </c>
      <c r="C443" s="626"/>
      <c r="D443" s="626"/>
      <c r="E443" s="626"/>
      <c r="F443" s="626"/>
      <c r="G443" s="626"/>
      <c r="H443" s="626"/>
      <c r="I443" s="626"/>
    </row>
    <row r="444" spans="1:11" ht="15.95" customHeight="1">
      <c r="B444" s="45" t="s">
        <v>59</v>
      </c>
      <c r="C444" s="57" t="s">
        <v>5</v>
      </c>
      <c r="D444" s="47" t="s">
        <v>6</v>
      </c>
      <c r="E444" s="46"/>
      <c r="F444" s="46"/>
      <c r="G444" s="46"/>
      <c r="H444" s="47" t="s">
        <v>71</v>
      </c>
      <c r="I444" s="43" t="s">
        <v>65</v>
      </c>
    </row>
    <row r="445" spans="1:11" ht="15.95" customHeight="1">
      <c r="B445" s="48"/>
      <c r="C445" s="47"/>
      <c r="D445" s="47"/>
      <c r="E445" s="46"/>
      <c r="F445" s="46"/>
      <c r="G445" s="46"/>
      <c r="H445" s="47"/>
      <c r="I445" s="90">
        <f>D445*H445</f>
        <v>0</v>
      </c>
    </row>
    <row r="446" spans="1:11" ht="15.95" customHeight="1">
      <c r="B446" s="628" t="s">
        <v>69</v>
      </c>
      <c r="C446" s="628"/>
      <c r="D446" s="628"/>
      <c r="E446" s="628"/>
      <c r="F446" s="628"/>
      <c r="G446" s="628"/>
      <c r="H446" s="628"/>
      <c r="I446" s="90">
        <f>SUM(I445:I445)</f>
        <v>0</v>
      </c>
    </row>
    <row r="447" spans="1:11" s="127" customFormat="1" ht="30" customHeight="1">
      <c r="B447" s="626" t="s">
        <v>74</v>
      </c>
      <c r="C447" s="626"/>
      <c r="D447" s="626"/>
      <c r="E447" s="626"/>
      <c r="F447" s="626"/>
      <c r="G447" s="626"/>
      <c r="H447" s="626"/>
      <c r="I447" s="626"/>
    </row>
    <row r="448" spans="1:11" ht="15.95" customHeight="1">
      <c r="B448" s="96" t="s">
        <v>59</v>
      </c>
      <c r="C448" s="78" t="s">
        <v>5</v>
      </c>
      <c r="D448" s="110" t="s">
        <v>6</v>
      </c>
      <c r="E448" s="42"/>
      <c r="F448" s="42"/>
      <c r="G448" s="42"/>
      <c r="H448" s="40" t="s">
        <v>71</v>
      </c>
      <c r="I448" s="43" t="s">
        <v>65</v>
      </c>
    </row>
    <row r="449" spans="2:9" ht="15.95" customHeight="1">
      <c r="B449" s="53" t="s">
        <v>99</v>
      </c>
      <c r="C449" s="57" t="s">
        <v>67</v>
      </c>
      <c r="D449" s="40">
        <v>0.1</v>
      </c>
      <c r="E449" s="42"/>
      <c r="F449" s="42"/>
      <c r="G449" s="42"/>
      <c r="H449" s="52">
        <f>INSUMOS!E17</f>
        <v>9.94</v>
      </c>
      <c r="I449" s="90">
        <f>H449*D449</f>
        <v>0.99</v>
      </c>
    </row>
    <row r="450" spans="2:9" ht="15.95" customHeight="1">
      <c r="B450" s="91" t="s">
        <v>75</v>
      </c>
      <c r="C450" s="57" t="s">
        <v>67</v>
      </c>
      <c r="D450" s="40">
        <v>0.1</v>
      </c>
      <c r="E450" s="42"/>
      <c r="F450" s="42"/>
      <c r="G450" s="42"/>
      <c r="H450" s="52">
        <f>INSUMOS!E14</f>
        <v>3.42</v>
      </c>
      <c r="I450" s="90">
        <f>H450*D450</f>
        <v>0.34</v>
      </c>
    </row>
    <row r="451" spans="2:9" ht="15.95" customHeight="1">
      <c r="B451" s="635" t="s">
        <v>576</v>
      </c>
      <c r="C451" s="635"/>
      <c r="D451" s="635"/>
      <c r="E451" s="635"/>
      <c r="F451" s="635"/>
      <c r="G451" s="635"/>
      <c r="H451" s="635"/>
      <c r="I451" s="90">
        <f>SUM(I449:I450)*0.9103</f>
        <v>1.21</v>
      </c>
    </row>
    <row r="452" spans="2:9" ht="15.95" customHeight="1">
      <c r="B452" s="628" t="s">
        <v>69</v>
      </c>
      <c r="C452" s="628"/>
      <c r="D452" s="628"/>
      <c r="E452" s="628"/>
      <c r="F452" s="628"/>
      <c r="G452" s="628"/>
      <c r="H452" s="628"/>
      <c r="I452" s="95">
        <f>SUM(I449:I451)</f>
        <v>2.54</v>
      </c>
    </row>
    <row r="453" spans="2:9" ht="15.95" customHeight="1">
      <c r="B453" s="147" t="s">
        <v>76</v>
      </c>
      <c r="C453" s="148">
        <v>1</v>
      </c>
      <c r="D453" s="636" t="s">
        <v>77</v>
      </c>
      <c r="E453" s="637"/>
      <c r="F453" s="637"/>
      <c r="G453" s="637"/>
      <c r="H453" s="638"/>
      <c r="I453" s="95">
        <f>I436+I442+I446+I452</f>
        <v>69.86</v>
      </c>
    </row>
    <row r="454" spans="2:9" ht="15.95" customHeight="1">
      <c r="B454" s="632"/>
      <c r="C454" s="633"/>
      <c r="D454" s="633"/>
      <c r="E454" s="633"/>
      <c r="F454" s="633"/>
      <c r="G454" s="633"/>
      <c r="H454" s="634"/>
      <c r="I454" s="95">
        <f>I453/C453</f>
        <v>69.86</v>
      </c>
    </row>
    <row r="455" spans="2:9" ht="15.95" customHeight="1">
      <c r="B455" s="139" t="s">
        <v>334</v>
      </c>
      <c r="C455" s="145">
        <f>BDI!C37</f>
        <v>24.5</v>
      </c>
      <c r="D455" s="146" t="s">
        <v>269</v>
      </c>
      <c r="E455" s="136"/>
      <c r="F455" s="136"/>
      <c r="G455" s="136"/>
      <c r="H455" s="137"/>
      <c r="I455" s="90">
        <f>C455/100*I454</f>
        <v>17.12</v>
      </c>
    </row>
    <row r="456" spans="2:9" s="127" customFormat="1" ht="30" customHeight="1" thickBot="1">
      <c r="B456" s="627" t="s">
        <v>78</v>
      </c>
      <c r="C456" s="627"/>
      <c r="D456" s="627"/>
      <c r="E456" s="627"/>
      <c r="F456" s="627"/>
      <c r="G456" s="627"/>
      <c r="H456" s="627"/>
      <c r="I456" s="135">
        <f>SUM(I454:I455)</f>
        <v>86.98</v>
      </c>
    </row>
    <row r="463" spans="2:9" ht="13.5" thickBot="1"/>
    <row r="464" spans="2:9" s="127" customFormat="1" ht="30" customHeight="1">
      <c r="B464" s="200" t="s">
        <v>55</v>
      </c>
      <c r="C464" s="474" t="str">
        <f>'Planilha Orçamentária'!B37</f>
        <v>2.11</v>
      </c>
      <c r="D464" s="639" t="s">
        <v>56</v>
      </c>
      <c r="E464" s="639"/>
      <c r="F464" s="639"/>
      <c r="G464" s="639"/>
      <c r="H464" s="639"/>
      <c r="I464" s="639"/>
    </row>
    <row r="465" spans="1:9" s="127" customFormat="1" ht="30" customHeight="1">
      <c r="B465" s="640" t="s">
        <v>332</v>
      </c>
      <c r="C465" s="641"/>
      <c r="D465" s="641"/>
      <c r="E465" s="641"/>
      <c r="F465" s="641"/>
      <c r="G465" s="642"/>
      <c r="H465" s="643" t="s">
        <v>700</v>
      </c>
      <c r="I465" s="644"/>
    </row>
    <row r="466" spans="1:9" s="127" customFormat="1" ht="30" customHeight="1">
      <c r="B466" s="648" t="s">
        <v>351</v>
      </c>
      <c r="C466" s="648"/>
      <c r="D466" s="648"/>
      <c r="E466" s="648"/>
      <c r="F466" s="648"/>
      <c r="G466" s="648"/>
      <c r="H466" s="34" t="s">
        <v>57</v>
      </c>
      <c r="I466" s="126" t="s">
        <v>379</v>
      </c>
    </row>
    <row r="467" spans="1:9" s="127" customFormat="1" ht="30" customHeight="1">
      <c r="B467" s="626" t="s">
        <v>58</v>
      </c>
      <c r="C467" s="626"/>
      <c r="D467" s="626"/>
      <c r="E467" s="626"/>
      <c r="F467" s="626"/>
      <c r="G467" s="626"/>
      <c r="H467" s="626"/>
      <c r="I467" s="626"/>
    </row>
    <row r="468" spans="1:9" ht="25.5">
      <c r="A468" s="93"/>
      <c r="B468" s="35" t="s">
        <v>59</v>
      </c>
      <c r="C468" s="172" t="s">
        <v>5</v>
      </c>
      <c r="D468" s="36" t="s">
        <v>6</v>
      </c>
      <c r="E468" s="36" t="s">
        <v>61</v>
      </c>
      <c r="F468" s="36" t="s">
        <v>62</v>
      </c>
      <c r="G468" s="36" t="s">
        <v>63</v>
      </c>
      <c r="H468" s="36" t="s">
        <v>64</v>
      </c>
      <c r="I468" s="37" t="s">
        <v>65</v>
      </c>
    </row>
    <row r="469" spans="1:9" ht="15.95" customHeight="1">
      <c r="B469" s="84" t="s">
        <v>102</v>
      </c>
      <c r="C469" s="85" t="s">
        <v>67</v>
      </c>
      <c r="D469" s="241">
        <v>2</v>
      </c>
      <c r="E469" s="49"/>
      <c r="F469" s="49"/>
      <c r="G469" s="56">
        <f>INSUMOS!E101</f>
        <v>13.73</v>
      </c>
      <c r="I469" s="90">
        <f>G469*D469</f>
        <v>27.46</v>
      </c>
    </row>
    <row r="470" spans="1:9" ht="17.25" customHeight="1">
      <c r="B470" s="628" t="s">
        <v>69</v>
      </c>
      <c r="C470" s="628"/>
      <c r="D470" s="628"/>
      <c r="E470" s="628"/>
      <c r="F470" s="628"/>
      <c r="G470" s="628"/>
      <c r="H470" s="628"/>
      <c r="I470" s="95">
        <f>SUM(I469:I469)</f>
        <v>27.46</v>
      </c>
    </row>
    <row r="471" spans="1:9" s="127" customFormat="1" ht="30" customHeight="1">
      <c r="B471" s="626" t="s">
        <v>70</v>
      </c>
      <c r="C471" s="626"/>
      <c r="D471" s="626"/>
      <c r="E471" s="626"/>
      <c r="F471" s="626"/>
      <c r="G471" s="626"/>
      <c r="H471" s="626"/>
      <c r="I471" s="626"/>
    </row>
    <row r="472" spans="1:9" ht="15.95" customHeight="1">
      <c r="B472" s="179" t="s">
        <v>59</v>
      </c>
      <c r="C472" s="180" t="s">
        <v>5</v>
      </c>
      <c r="D472" s="47" t="s">
        <v>6</v>
      </c>
      <c r="E472" s="46"/>
      <c r="F472" s="46"/>
      <c r="G472" s="46"/>
      <c r="H472" s="47" t="s">
        <v>71</v>
      </c>
      <c r="I472" s="90" t="s">
        <v>65</v>
      </c>
    </row>
    <row r="473" spans="1:9" ht="15.95" customHeight="1">
      <c r="B473" s="97" t="s">
        <v>98</v>
      </c>
      <c r="C473" s="88" t="s">
        <v>94</v>
      </c>
      <c r="D473" s="89">
        <v>9</v>
      </c>
      <c r="E473" s="46"/>
      <c r="F473" s="46"/>
      <c r="G473" s="46"/>
      <c r="H473" s="56">
        <f>INSUMOS!E32</f>
        <v>2.38</v>
      </c>
      <c r="I473" s="90">
        <f>H473*D473</f>
        <v>21.42</v>
      </c>
    </row>
    <row r="474" spans="1:9" ht="15.95" customHeight="1">
      <c r="B474" s="97" t="s">
        <v>109</v>
      </c>
      <c r="C474" s="239" t="s">
        <v>94</v>
      </c>
      <c r="D474" s="240">
        <v>0.23</v>
      </c>
      <c r="E474" s="138"/>
      <c r="F474" s="46"/>
      <c r="G474" s="46"/>
      <c r="H474" s="56">
        <f>INSUMOS!E33</f>
        <v>14</v>
      </c>
      <c r="I474" s="90">
        <f>H474*D474</f>
        <v>3.22</v>
      </c>
    </row>
    <row r="475" spans="1:9" ht="15.95" customHeight="1">
      <c r="B475" s="238" t="s">
        <v>352</v>
      </c>
      <c r="C475" s="145" t="s">
        <v>94</v>
      </c>
      <c r="D475" s="165">
        <v>0.4</v>
      </c>
      <c r="E475" s="166"/>
      <c r="F475" s="236"/>
      <c r="G475" s="236"/>
      <c r="H475" s="237">
        <f>INSUMOS!E35</f>
        <v>4.13</v>
      </c>
      <c r="I475" s="90">
        <f>H475*D475</f>
        <v>1.65</v>
      </c>
    </row>
    <row r="476" spans="1:9" ht="15.95" customHeight="1">
      <c r="B476" s="628" t="s">
        <v>69</v>
      </c>
      <c r="C476" s="665"/>
      <c r="D476" s="665"/>
      <c r="E476" s="665"/>
      <c r="F476" s="628"/>
      <c r="G476" s="628"/>
      <c r="H476" s="628"/>
      <c r="I476" s="90">
        <f>SUM(I473:I475)</f>
        <v>26.29</v>
      </c>
    </row>
    <row r="477" spans="1:9" s="127" customFormat="1" ht="30" customHeight="1">
      <c r="B477" s="626" t="s">
        <v>72</v>
      </c>
      <c r="C477" s="626"/>
      <c r="D477" s="626"/>
      <c r="E477" s="626"/>
      <c r="F477" s="626"/>
      <c r="G477" s="626"/>
      <c r="H477" s="626"/>
      <c r="I477" s="626"/>
    </row>
    <row r="478" spans="1:9" ht="15.95" customHeight="1">
      <c r="B478" s="45" t="s">
        <v>59</v>
      </c>
      <c r="C478" s="57" t="s">
        <v>5</v>
      </c>
      <c r="D478" s="47" t="s">
        <v>6</v>
      </c>
      <c r="E478" s="46"/>
      <c r="F478" s="46"/>
      <c r="G478" s="46"/>
      <c r="H478" s="47" t="s">
        <v>71</v>
      </c>
      <c r="I478" s="43" t="s">
        <v>65</v>
      </c>
    </row>
    <row r="479" spans="1:9" ht="15.95" customHeight="1">
      <c r="B479" s="48"/>
      <c r="C479" s="47"/>
      <c r="D479" s="47"/>
      <c r="E479" s="46"/>
      <c r="F479" s="46"/>
      <c r="G479" s="46"/>
      <c r="H479" s="47"/>
      <c r="I479" s="90">
        <f>D479*H479</f>
        <v>0</v>
      </c>
    </row>
    <row r="480" spans="1:9" ht="15.95" customHeight="1">
      <c r="B480" s="628" t="s">
        <v>69</v>
      </c>
      <c r="C480" s="628"/>
      <c r="D480" s="628"/>
      <c r="E480" s="628"/>
      <c r="F480" s="628"/>
      <c r="G480" s="628"/>
      <c r="H480" s="628"/>
      <c r="I480" s="90">
        <f>SUM(I479:I479)</f>
        <v>0</v>
      </c>
    </row>
    <row r="481" spans="2:9" s="127" customFormat="1" ht="30" customHeight="1">
      <c r="B481" s="626" t="s">
        <v>74</v>
      </c>
      <c r="C481" s="626"/>
      <c r="D481" s="626"/>
      <c r="E481" s="626"/>
      <c r="F481" s="626"/>
      <c r="G481" s="626"/>
      <c r="H481" s="626"/>
      <c r="I481" s="626"/>
    </row>
    <row r="482" spans="2:9" ht="15.95" customHeight="1">
      <c r="B482" s="179" t="s">
        <v>59</v>
      </c>
      <c r="C482" s="180" t="s">
        <v>5</v>
      </c>
      <c r="D482" s="144" t="s">
        <v>6</v>
      </c>
      <c r="E482" s="46"/>
      <c r="F482" s="46"/>
      <c r="G482" s="46"/>
      <c r="H482" s="47" t="s">
        <v>71</v>
      </c>
      <c r="I482" s="90" t="s">
        <v>65</v>
      </c>
    </row>
    <row r="483" spans="2:9" ht="15.95" customHeight="1">
      <c r="B483" s="99" t="s">
        <v>110</v>
      </c>
      <c r="C483" s="83" t="s">
        <v>67</v>
      </c>
      <c r="D483" s="49">
        <v>0.5</v>
      </c>
      <c r="E483" s="50"/>
      <c r="F483" s="50"/>
      <c r="G483" s="50"/>
      <c r="H483" s="56">
        <f>INSUMOS!E23</f>
        <v>7.65</v>
      </c>
      <c r="I483" s="87">
        <f>H483*D483</f>
        <v>3.83</v>
      </c>
    </row>
    <row r="484" spans="2:9" ht="15.95" customHeight="1">
      <c r="B484" s="91" t="s">
        <v>75</v>
      </c>
      <c r="C484" s="71" t="s">
        <v>67</v>
      </c>
      <c r="D484" s="47">
        <v>2</v>
      </c>
      <c r="E484" s="46"/>
      <c r="F484" s="46"/>
      <c r="G484" s="46"/>
      <c r="H484" s="56">
        <f>INSUMOS!E14</f>
        <v>3.42</v>
      </c>
      <c r="I484" s="90">
        <f>H484*D484</f>
        <v>6.84</v>
      </c>
    </row>
    <row r="485" spans="2:9" ht="15.95" customHeight="1">
      <c r="B485" s="635" t="s">
        <v>576</v>
      </c>
      <c r="C485" s="635"/>
      <c r="D485" s="635"/>
      <c r="E485" s="635"/>
      <c r="F485" s="635"/>
      <c r="G485" s="635"/>
      <c r="H485" s="635"/>
      <c r="I485" s="90">
        <f>SUM(I483:I484)*0.9103</f>
        <v>9.7100000000000009</v>
      </c>
    </row>
    <row r="486" spans="2:9" ht="15.95" customHeight="1">
      <c r="B486" s="628" t="s">
        <v>69</v>
      </c>
      <c r="C486" s="628"/>
      <c r="D486" s="628"/>
      <c r="E486" s="628"/>
      <c r="F486" s="628"/>
      <c r="G486" s="628"/>
      <c r="H486" s="628"/>
      <c r="I486" s="95">
        <f>SUM(I483:I485)</f>
        <v>20.38</v>
      </c>
    </row>
    <row r="487" spans="2:9" ht="15.95" customHeight="1">
      <c r="B487" s="147" t="s">
        <v>76</v>
      </c>
      <c r="C487" s="148">
        <v>1</v>
      </c>
      <c r="D487" s="636" t="s">
        <v>77</v>
      </c>
      <c r="E487" s="637"/>
      <c r="F487" s="637"/>
      <c r="G487" s="637"/>
      <c r="H487" s="638"/>
      <c r="I487" s="95">
        <f>I470+I476+I480+I486</f>
        <v>74.13</v>
      </c>
    </row>
    <row r="488" spans="2:9" ht="15.95" customHeight="1">
      <c r="B488" s="632"/>
      <c r="C488" s="633"/>
      <c r="D488" s="633"/>
      <c r="E488" s="633"/>
      <c r="F488" s="633"/>
      <c r="G488" s="633"/>
      <c r="H488" s="634"/>
      <c r="I488" s="95">
        <f>I487/C487</f>
        <v>74.13</v>
      </c>
    </row>
    <row r="489" spans="2:9" ht="15.95" customHeight="1">
      <c r="B489" s="139" t="s">
        <v>334</v>
      </c>
      <c r="C489" s="145">
        <f>BDI!C37</f>
        <v>24.5</v>
      </c>
      <c r="D489" s="146" t="s">
        <v>269</v>
      </c>
      <c r="E489" s="136"/>
      <c r="F489" s="136"/>
      <c r="G489" s="136"/>
      <c r="H489" s="137"/>
      <c r="I489" s="90">
        <f>C489/100*I488</f>
        <v>18.16</v>
      </c>
    </row>
    <row r="490" spans="2:9" s="127" customFormat="1" ht="30" customHeight="1" thickBot="1">
      <c r="B490" s="627" t="s">
        <v>78</v>
      </c>
      <c r="C490" s="627"/>
      <c r="D490" s="627"/>
      <c r="E490" s="627"/>
      <c r="F490" s="627"/>
      <c r="G490" s="627"/>
      <c r="H490" s="627"/>
      <c r="I490" s="135">
        <f>SUM(I488:I489)</f>
        <v>92.29</v>
      </c>
    </row>
    <row r="497" spans="1:12" ht="13.5" thickBot="1"/>
    <row r="498" spans="1:12" s="127" customFormat="1" ht="30" customHeight="1">
      <c r="B498" s="200" t="s">
        <v>55</v>
      </c>
      <c r="C498" s="474" t="str">
        <f>'Planilha Orçamentária'!B38</f>
        <v>2.12</v>
      </c>
      <c r="D498" s="639" t="s">
        <v>56</v>
      </c>
      <c r="E498" s="639"/>
      <c r="F498" s="639"/>
      <c r="G498" s="639"/>
      <c r="H498" s="639"/>
      <c r="I498" s="639"/>
    </row>
    <row r="499" spans="1:12" s="127" customFormat="1" ht="30" customHeight="1">
      <c r="B499" s="640" t="s">
        <v>332</v>
      </c>
      <c r="C499" s="641"/>
      <c r="D499" s="641"/>
      <c r="E499" s="641"/>
      <c r="F499" s="641"/>
      <c r="G499" s="642"/>
      <c r="H499" s="643" t="s">
        <v>700</v>
      </c>
      <c r="I499" s="644"/>
    </row>
    <row r="500" spans="1:12" s="127" customFormat="1" ht="30" customHeight="1">
      <c r="B500" s="625" t="s">
        <v>423</v>
      </c>
      <c r="C500" s="625"/>
      <c r="D500" s="625"/>
      <c r="E500" s="625"/>
      <c r="F500" s="625"/>
      <c r="G500" s="625"/>
      <c r="H500" s="34" t="s">
        <v>57</v>
      </c>
      <c r="I500" s="126" t="s">
        <v>379</v>
      </c>
    </row>
    <row r="501" spans="1:12" s="127" customFormat="1" ht="30" customHeight="1">
      <c r="B501" s="626" t="s">
        <v>58</v>
      </c>
      <c r="C501" s="626"/>
      <c r="D501" s="626"/>
      <c r="E501" s="626"/>
      <c r="F501" s="626"/>
      <c r="G501" s="626"/>
      <c r="H501" s="626"/>
      <c r="I501" s="626"/>
    </row>
    <row r="502" spans="1:12" ht="25.5" customHeight="1">
      <c r="A502" s="93"/>
      <c r="B502" s="35" t="s">
        <v>59</v>
      </c>
      <c r="C502" s="172" t="s">
        <v>5</v>
      </c>
      <c r="D502" s="36" t="s">
        <v>6</v>
      </c>
      <c r="E502" s="36" t="s">
        <v>61</v>
      </c>
      <c r="F502" s="36" t="s">
        <v>62</v>
      </c>
      <c r="G502" s="36" t="s">
        <v>63</v>
      </c>
      <c r="H502" s="36" t="s">
        <v>64</v>
      </c>
      <c r="I502" s="37" t="s">
        <v>65</v>
      </c>
    </row>
    <row r="503" spans="1:12" ht="15.95" customHeight="1">
      <c r="B503" s="84" t="s">
        <v>111</v>
      </c>
      <c r="C503" s="85" t="s">
        <v>67</v>
      </c>
      <c r="D503" s="86">
        <v>4</v>
      </c>
      <c r="E503" s="49"/>
      <c r="F503" s="49"/>
      <c r="G503" s="56">
        <f>INSUMOS!E86</f>
        <v>8.27</v>
      </c>
      <c r="I503" s="87">
        <f>G503*D503</f>
        <v>33.08</v>
      </c>
    </row>
    <row r="504" spans="1:12" ht="15.95" customHeight="1">
      <c r="B504" s="628" t="s">
        <v>69</v>
      </c>
      <c r="C504" s="628"/>
      <c r="D504" s="628"/>
      <c r="E504" s="628"/>
      <c r="F504" s="628"/>
      <c r="G504" s="628"/>
      <c r="H504" s="628"/>
      <c r="I504" s="95">
        <f>SUM(I503:I503)</f>
        <v>33.08</v>
      </c>
    </row>
    <row r="505" spans="1:12" s="127" customFormat="1" ht="30" customHeight="1">
      <c r="B505" s="626" t="s">
        <v>70</v>
      </c>
      <c r="C505" s="626"/>
      <c r="D505" s="626"/>
      <c r="E505" s="626"/>
      <c r="F505" s="626"/>
      <c r="G505" s="626"/>
      <c r="H505" s="626"/>
      <c r="I505" s="626"/>
    </row>
    <row r="506" spans="1:12">
      <c r="B506" s="96" t="s">
        <v>59</v>
      </c>
      <c r="C506" s="78" t="s">
        <v>5</v>
      </c>
      <c r="D506" s="40" t="s">
        <v>6</v>
      </c>
      <c r="E506" s="42"/>
      <c r="F506" s="42"/>
      <c r="G506" s="42"/>
      <c r="H506" s="40" t="s">
        <v>71</v>
      </c>
      <c r="I506" s="43" t="s">
        <v>65</v>
      </c>
    </row>
    <row r="507" spans="1:12">
      <c r="B507" s="97"/>
      <c r="C507" s="88"/>
      <c r="D507" s="89"/>
      <c r="E507" s="46"/>
      <c r="F507" s="46"/>
      <c r="G507" s="46"/>
      <c r="H507" s="47"/>
      <c r="I507" s="90">
        <f>H507*D507</f>
        <v>0</v>
      </c>
    </row>
    <row r="508" spans="1:12">
      <c r="B508" s="628" t="s">
        <v>69</v>
      </c>
      <c r="C508" s="628"/>
      <c r="D508" s="628"/>
      <c r="E508" s="628"/>
      <c r="F508" s="628"/>
      <c r="G508" s="628"/>
      <c r="H508" s="628"/>
      <c r="I508" s="90">
        <f>SUM(I507:I507)</f>
        <v>0</v>
      </c>
    </row>
    <row r="509" spans="1:12" s="127" customFormat="1" ht="30" customHeight="1">
      <c r="B509" s="626" t="s">
        <v>72</v>
      </c>
      <c r="C509" s="626"/>
      <c r="D509" s="626"/>
      <c r="E509" s="626"/>
      <c r="F509" s="626"/>
      <c r="G509" s="626"/>
      <c r="H509" s="626"/>
      <c r="I509" s="626"/>
    </row>
    <row r="510" spans="1:12" ht="15.95" customHeight="1">
      <c r="B510" s="45" t="s">
        <v>59</v>
      </c>
      <c r="C510" s="71" t="s">
        <v>5</v>
      </c>
      <c r="D510" s="47" t="s">
        <v>6</v>
      </c>
      <c r="E510" s="46"/>
      <c r="F510" s="46"/>
      <c r="G510" s="46"/>
      <c r="H510" s="47" t="s">
        <v>71</v>
      </c>
      <c r="I510" s="90" t="s">
        <v>65</v>
      </c>
    </row>
    <row r="511" spans="1:12" ht="15.95" customHeight="1">
      <c r="B511" s="84" t="s">
        <v>112</v>
      </c>
      <c r="C511" s="145" t="s">
        <v>379</v>
      </c>
      <c r="D511" s="49">
        <v>1</v>
      </c>
      <c r="E511" s="50"/>
      <c r="F511" s="50"/>
      <c r="G511" s="50"/>
      <c r="H511" s="56">
        <f>INSUMOS!E121+INSUMOS!E120</f>
        <v>176.02</v>
      </c>
      <c r="I511" s="87">
        <f>D511*H511</f>
        <v>176.02</v>
      </c>
      <c r="J511" s="51"/>
      <c r="L511" s="51"/>
    </row>
    <row r="512" spans="1:12" ht="15.95" customHeight="1">
      <c r="B512" s="628" t="s">
        <v>69</v>
      </c>
      <c r="C512" s="628"/>
      <c r="D512" s="628"/>
      <c r="E512" s="628"/>
      <c r="F512" s="628"/>
      <c r="G512" s="628"/>
      <c r="H512" s="628"/>
      <c r="I512" s="90">
        <f>SUM(I511:I511)</f>
        <v>176.02</v>
      </c>
    </row>
    <row r="513" spans="2:9" s="127" customFormat="1" ht="30" customHeight="1">
      <c r="B513" s="626" t="s">
        <v>74</v>
      </c>
      <c r="C513" s="626"/>
      <c r="D513" s="626"/>
      <c r="E513" s="626"/>
      <c r="F513" s="626"/>
      <c r="G513" s="626"/>
      <c r="H513" s="626"/>
      <c r="I513" s="626"/>
    </row>
    <row r="514" spans="2:9" ht="15.95" customHeight="1">
      <c r="B514" s="96" t="s">
        <v>59</v>
      </c>
      <c r="C514" s="78" t="s">
        <v>5</v>
      </c>
      <c r="D514" s="110" t="s">
        <v>6</v>
      </c>
      <c r="E514" s="42"/>
      <c r="F514" s="42"/>
      <c r="G514" s="42"/>
      <c r="H514" s="40" t="s">
        <v>71</v>
      </c>
      <c r="I514" s="43" t="s">
        <v>65</v>
      </c>
    </row>
    <row r="515" spans="2:9" ht="15.95" customHeight="1">
      <c r="B515" s="53" t="s">
        <v>100</v>
      </c>
      <c r="C515" s="71" t="s">
        <v>67</v>
      </c>
      <c r="D515" s="47">
        <v>4</v>
      </c>
      <c r="E515" s="42"/>
      <c r="F515" s="42"/>
      <c r="G515" s="42"/>
      <c r="H515" s="56">
        <f>INSUMOS!E13</f>
        <v>7.5</v>
      </c>
      <c r="I515" s="90">
        <f>H515*D515</f>
        <v>30</v>
      </c>
    </row>
    <row r="516" spans="2:9" ht="15.95" customHeight="1">
      <c r="B516" s="91" t="s">
        <v>75</v>
      </c>
      <c r="C516" s="71" t="s">
        <v>67</v>
      </c>
      <c r="D516" s="47">
        <v>0.2</v>
      </c>
      <c r="E516" s="42"/>
      <c r="F516" s="42"/>
      <c r="G516" s="42"/>
      <c r="H516" s="56">
        <f>INSUMOS!E14</f>
        <v>3.42</v>
      </c>
      <c r="I516" s="90">
        <f>H516*D516</f>
        <v>0.68</v>
      </c>
    </row>
    <row r="517" spans="2:9" ht="15.95" customHeight="1">
      <c r="B517" s="635" t="s">
        <v>576</v>
      </c>
      <c r="C517" s="635"/>
      <c r="D517" s="635"/>
      <c r="E517" s="635"/>
      <c r="F517" s="635"/>
      <c r="G517" s="635"/>
      <c r="H517" s="635"/>
      <c r="I517" s="90">
        <f>SUM(I515:I516)*0.9103</f>
        <v>27.93</v>
      </c>
    </row>
    <row r="518" spans="2:9" ht="15.95" customHeight="1">
      <c r="B518" s="628" t="s">
        <v>69</v>
      </c>
      <c r="C518" s="628"/>
      <c r="D518" s="628"/>
      <c r="E518" s="628"/>
      <c r="F518" s="628"/>
      <c r="G518" s="628"/>
      <c r="H518" s="628"/>
      <c r="I518" s="95">
        <f>SUM(I515:I517)</f>
        <v>58.61</v>
      </c>
    </row>
    <row r="519" spans="2:9" ht="15.95" customHeight="1">
      <c r="B519" s="147" t="s">
        <v>76</v>
      </c>
      <c r="C519" s="148">
        <v>1</v>
      </c>
      <c r="D519" s="636" t="s">
        <v>77</v>
      </c>
      <c r="E519" s="637"/>
      <c r="F519" s="637"/>
      <c r="G519" s="637"/>
      <c r="H519" s="638"/>
      <c r="I519" s="95">
        <f>I504+I508+I512+I518</f>
        <v>267.70999999999998</v>
      </c>
    </row>
    <row r="520" spans="2:9" ht="15.95" customHeight="1">
      <c r="B520" s="632"/>
      <c r="C520" s="633"/>
      <c r="D520" s="633"/>
      <c r="E520" s="633"/>
      <c r="F520" s="633"/>
      <c r="G520" s="633"/>
      <c r="H520" s="634"/>
      <c r="I520" s="95">
        <f>I519/C519</f>
        <v>267.70999999999998</v>
      </c>
    </row>
    <row r="521" spans="2:9" ht="15.95" customHeight="1">
      <c r="B521" s="139" t="s">
        <v>334</v>
      </c>
      <c r="C521" s="145">
        <f>BDI!C37</f>
        <v>24.5</v>
      </c>
      <c r="D521" s="146" t="s">
        <v>269</v>
      </c>
      <c r="E521" s="136"/>
      <c r="F521" s="136"/>
      <c r="G521" s="136"/>
      <c r="H521" s="137"/>
      <c r="I521" s="90">
        <f>C521/100*I520</f>
        <v>65.59</v>
      </c>
    </row>
    <row r="522" spans="2:9" s="127" customFormat="1" ht="30" customHeight="1" thickBot="1">
      <c r="B522" s="627" t="s">
        <v>78</v>
      </c>
      <c r="C522" s="627"/>
      <c r="D522" s="627"/>
      <c r="E522" s="627"/>
      <c r="F522" s="627"/>
      <c r="G522" s="627"/>
      <c r="H522" s="627"/>
      <c r="I522" s="135">
        <f>SUM(I520:I521)</f>
        <v>333.3</v>
      </c>
    </row>
    <row r="528" spans="2:9" ht="13.5" thickBot="1"/>
    <row r="529" spans="1:9" s="127" customFormat="1" ht="30" customHeight="1">
      <c r="B529" s="200" t="s">
        <v>55</v>
      </c>
      <c r="C529" s="474" t="str">
        <f>'Planilha Orçamentária'!B39</f>
        <v>2.13</v>
      </c>
      <c r="D529" s="639" t="s">
        <v>56</v>
      </c>
      <c r="E529" s="639"/>
      <c r="F529" s="639"/>
      <c r="G529" s="639"/>
      <c r="H529" s="639"/>
      <c r="I529" s="639"/>
    </row>
    <row r="530" spans="1:9" s="127" customFormat="1" ht="30" customHeight="1">
      <c r="B530" s="640" t="s">
        <v>332</v>
      </c>
      <c r="C530" s="641"/>
      <c r="D530" s="641"/>
      <c r="E530" s="641"/>
      <c r="F530" s="641"/>
      <c r="G530" s="642"/>
      <c r="H530" s="643" t="s">
        <v>700</v>
      </c>
      <c r="I530" s="644"/>
    </row>
    <row r="531" spans="1:9" s="127" customFormat="1" ht="30" customHeight="1">
      <c r="B531" s="760" t="s">
        <v>420</v>
      </c>
      <c r="C531" s="761"/>
      <c r="D531" s="761"/>
      <c r="E531" s="761"/>
      <c r="F531" s="761"/>
      <c r="G531" s="762"/>
      <c r="H531" s="34" t="s">
        <v>57</v>
      </c>
      <c r="I531" s="126" t="s">
        <v>379</v>
      </c>
    </row>
    <row r="532" spans="1:9" s="127" customFormat="1" ht="30" customHeight="1">
      <c r="B532" s="626" t="s">
        <v>58</v>
      </c>
      <c r="C532" s="626"/>
      <c r="D532" s="626"/>
      <c r="E532" s="626"/>
      <c r="F532" s="626"/>
      <c r="G532" s="626"/>
      <c r="H532" s="626"/>
      <c r="I532" s="626"/>
    </row>
    <row r="533" spans="1:9" ht="25.5">
      <c r="A533" s="93"/>
      <c r="B533" s="35" t="s">
        <v>59</v>
      </c>
      <c r="C533" s="172" t="s">
        <v>5</v>
      </c>
      <c r="D533" s="36" t="s">
        <v>6</v>
      </c>
      <c r="E533" s="36" t="s">
        <v>61</v>
      </c>
      <c r="F533" s="36" t="s">
        <v>62</v>
      </c>
      <c r="G533" s="36" t="s">
        <v>63</v>
      </c>
      <c r="H533" s="36" t="s">
        <v>64</v>
      </c>
      <c r="I533" s="37" t="s">
        <v>65</v>
      </c>
    </row>
    <row r="534" spans="1:9" ht="15.95" customHeight="1">
      <c r="B534" s="84" t="s">
        <v>102</v>
      </c>
      <c r="C534" s="85" t="s">
        <v>67</v>
      </c>
      <c r="D534" s="241">
        <v>4</v>
      </c>
      <c r="E534" s="58"/>
      <c r="F534" s="58"/>
      <c r="G534" s="56">
        <f>INSUMOS!E101</f>
        <v>13.73</v>
      </c>
      <c r="I534" s="90">
        <f>G534*D534</f>
        <v>54.92</v>
      </c>
    </row>
    <row r="535" spans="1:9">
      <c r="B535" s="628" t="s">
        <v>69</v>
      </c>
      <c r="C535" s="628"/>
      <c r="D535" s="628"/>
      <c r="E535" s="628"/>
      <c r="F535" s="628"/>
      <c r="G535" s="628"/>
      <c r="H535" s="628"/>
      <c r="I535" s="95">
        <f>SUM(I534:I534)</f>
        <v>54.92</v>
      </c>
    </row>
    <row r="536" spans="1:9" s="127" customFormat="1" ht="30" customHeight="1">
      <c r="B536" s="626" t="s">
        <v>70</v>
      </c>
      <c r="C536" s="626"/>
      <c r="D536" s="626"/>
      <c r="E536" s="626"/>
      <c r="F536" s="626"/>
      <c r="G536" s="626"/>
      <c r="H536" s="626"/>
      <c r="I536" s="626"/>
    </row>
    <row r="537" spans="1:9" ht="15.95" customHeight="1">
      <c r="B537" s="96" t="s">
        <v>59</v>
      </c>
      <c r="C537" s="78" t="s">
        <v>5</v>
      </c>
      <c r="D537" s="40" t="s">
        <v>6</v>
      </c>
      <c r="E537" s="42"/>
      <c r="F537" s="42"/>
      <c r="G537" s="42"/>
      <c r="H537" s="40" t="s">
        <v>71</v>
      </c>
      <c r="I537" s="43" t="s">
        <v>65</v>
      </c>
    </row>
    <row r="538" spans="1:9" ht="15.95" customHeight="1">
      <c r="B538" s="97" t="s">
        <v>98</v>
      </c>
      <c r="C538" s="88" t="s">
        <v>94</v>
      </c>
      <c r="D538" s="89">
        <v>9</v>
      </c>
      <c r="E538" s="46"/>
      <c r="F538" s="46"/>
      <c r="G538" s="46"/>
      <c r="H538" s="56">
        <f>INSUMOS!E32</f>
        <v>2.38</v>
      </c>
      <c r="I538" s="90">
        <f>H538*D538</f>
        <v>21.42</v>
      </c>
    </row>
    <row r="539" spans="1:9" ht="15.95" customHeight="1">
      <c r="B539" s="97" t="s">
        <v>109</v>
      </c>
      <c r="C539" s="88" t="s">
        <v>94</v>
      </c>
      <c r="D539" s="89">
        <v>0.23</v>
      </c>
      <c r="E539" s="46"/>
      <c r="F539" s="46"/>
      <c r="G539" s="46"/>
      <c r="H539" s="56">
        <f>INSUMOS!E33</f>
        <v>14</v>
      </c>
      <c r="I539" s="90">
        <f>H539*D539</f>
        <v>3.22</v>
      </c>
    </row>
    <row r="540" spans="1:9" ht="15.95" customHeight="1">
      <c r="B540" s="628" t="s">
        <v>69</v>
      </c>
      <c r="C540" s="628"/>
      <c r="D540" s="628"/>
      <c r="E540" s="628"/>
      <c r="F540" s="628"/>
      <c r="G540" s="628"/>
      <c r="H540" s="628"/>
      <c r="I540" s="90">
        <f>SUM(I538:I539)</f>
        <v>24.64</v>
      </c>
    </row>
    <row r="541" spans="1:9" s="127" customFormat="1" ht="30" customHeight="1">
      <c r="B541" s="626" t="s">
        <v>72</v>
      </c>
      <c r="C541" s="626"/>
      <c r="D541" s="626"/>
      <c r="E541" s="626"/>
      <c r="F541" s="626"/>
      <c r="G541" s="626"/>
      <c r="H541" s="626"/>
      <c r="I541" s="626"/>
    </row>
    <row r="542" spans="1:9" ht="15.95" customHeight="1">
      <c r="B542" s="45" t="s">
        <v>59</v>
      </c>
      <c r="C542" s="57" t="s">
        <v>5</v>
      </c>
      <c r="D542" s="47" t="s">
        <v>6</v>
      </c>
      <c r="E542" s="46"/>
      <c r="F542" s="46"/>
      <c r="G542" s="46"/>
      <c r="H542" s="47" t="s">
        <v>71</v>
      </c>
      <c r="I542" s="43" t="s">
        <v>65</v>
      </c>
    </row>
    <row r="543" spans="1:9" ht="15.95" customHeight="1">
      <c r="B543" s="48"/>
      <c r="C543" s="47"/>
      <c r="D543" s="47"/>
      <c r="E543" s="46"/>
      <c r="F543" s="46"/>
      <c r="G543" s="46"/>
      <c r="H543" s="47"/>
      <c r="I543" s="90">
        <f>D543*H543</f>
        <v>0</v>
      </c>
    </row>
    <row r="544" spans="1:9" ht="15.95" customHeight="1">
      <c r="B544" s="628" t="s">
        <v>69</v>
      </c>
      <c r="C544" s="628"/>
      <c r="D544" s="628"/>
      <c r="E544" s="628"/>
      <c r="F544" s="628"/>
      <c r="G544" s="628"/>
      <c r="H544" s="628"/>
      <c r="I544" s="90">
        <f>SUM(I543:I543)</f>
        <v>0</v>
      </c>
    </row>
    <row r="545" spans="2:9" s="127" customFormat="1" ht="30" customHeight="1">
      <c r="B545" s="626" t="s">
        <v>74</v>
      </c>
      <c r="C545" s="626"/>
      <c r="D545" s="626"/>
      <c r="E545" s="626"/>
      <c r="F545" s="626"/>
      <c r="G545" s="626"/>
      <c r="H545" s="626"/>
      <c r="I545" s="626"/>
    </row>
    <row r="546" spans="2:9" ht="15.95" customHeight="1">
      <c r="B546" s="96" t="s">
        <v>59</v>
      </c>
      <c r="C546" s="78" t="s">
        <v>5</v>
      </c>
      <c r="D546" s="110" t="s">
        <v>6</v>
      </c>
      <c r="E546" s="42"/>
      <c r="F546" s="42"/>
      <c r="G546" s="42"/>
      <c r="H546" s="40" t="s">
        <v>71</v>
      </c>
      <c r="I546" s="43" t="s">
        <v>65</v>
      </c>
    </row>
    <row r="547" spans="2:9" ht="15.95" customHeight="1">
      <c r="B547" s="99" t="s">
        <v>110</v>
      </c>
      <c r="C547" s="83" t="s">
        <v>67</v>
      </c>
      <c r="D547" s="49">
        <v>1</v>
      </c>
      <c r="E547" s="50"/>
      <c r="F547" s="50"/>
      <c r="G547" s="50"/>
      <c r="H547" s="56">
        <f>INSUMOS!E23</f>
        <v>7.65</v>
      </c>
      <c r="I547" s="87">
        <f>H547*D547</f>
        <v>7.65</v>
      </c>
    </row>
    <row r="548" spans="2:9" ht="15.95" customHeight="1">
      <c r="B548" s="91" t="s">
        <v>75</v>
      </c>
      <c r="C548" s="71" t="s">
        <v>67</v>
      </c>
      <c r="D548" s="47">
        <v>4</v>
      </c>
      <c r="E548" s="46"/>
      <c r="F548" s="46"/>
      <c r="G548" s="46"/>
      <c r="H548" s="56">
        <f>INSUMOS!E14</f>
        <v>3.42</v>
      </c>
      <c r="I548" s="90">
        <f>H548*D548</f>
        <v>13.68</v>
      </c>
    </row>
    <row r="549" spans="2:9" ht="15.95" customHeight="1">
      <c r="B549" s="635" t="s">
        <v>576</v>
      </c>
      <c r="C549" s="635"/>
      <c r="D549" s="635"/>
      <c r="E549" s="635"/>
      <c r="F549" s="635"/>
      <c r="G549" s="635"/>
      <c r="H549" s="635"/>
      <c r="I549" s="90">
        <f>SUM(I547:I548)*0.9103</f>
        <v>19.420000000000002</v>
      </c>
    </row>
    <row r="550" spans="2:9" ht="15.95" customHeight="1">
      <c r="B550" s="628" t="s">
        <v>69</v>
      </c>
      <c r="C550" s="628"/>
      <c r="D550" s="628"/>
      <c r="E550" s="628"/>
      <c r="F550" s="628"/>
      <c r="G550" s="628"/>
      <c r="H550" s="628"/>
      <c r="I550" s="95">
        <f>SUM(I547:I549)</f>
        <v>40.75</v>
      </c>
    </row>
    <row r="551" spans="2:9" ht="15.95" customHeight="1">
      <c r="B551" s="147" t="s">
        <v>76</v>
      </c>
      <c r="C551" s="148">
        <v>1</v>
      </c>
      <c r="D551" s="636" t="s">
        <v>77</v>
      </c>
      <c r="E551" s="637"/>
      <c r="F551" s="637"/>
      <c r="G551" s="637"/>
      <c r="H551" s="638"/>
      <c r="I551" s="95">
        <f>I535+I540+I544+I550</f>
        <v>120.31</v>
      </c>
    </row>
    <row r="552" spans="2:9" ht="15.95" customHeight="1">
      <c r="B552" s="632"/>
      <c r="C552" s="633"/>
      <c r="D552" s="633"/>
      <c r="E552" s="633"/>
      <c r="F552" s="633"/>
      <c r="G552" s="633"/>
      <c r="H552" s="634"/>
      <c r="I552" s="95">
        <f>I551/C551</f>
        <v>120.31</v>
      </c>
    </row>
    <row r="553" spans="2:9" ht="15.95" customHeight="1">
      <c r="B553" s="139" t="s">
        <v>334</v>
      </c>
      <c r="C553" s="145">
        <f>BDI!C37</f>
        <v>24.5</v>
      </c>
      <c r="D553" s="146" t="s">
        <v>269</v>
      </c>
      <c r="E553" s="136"/>
      <c r="F553" s="136"/>
      <c r="G553" s="136"/>
      <c r="H553" s="137"/>
      <c r="I553" s="90">
        <f>C553/100*I552</f>
        <v>29.48</v>
      </c>
    </row>
    <row r="554" spans="2:9" s="127" customFormat="1" ht="30" customHeight="1" thickBot="1">
      <c r="B554" s="627" t="s">
        <v>78</v>
      </c>
      <c r="C554" s="627"/>
      <c r="D554" s="627"/>
      <c r="E554" s="627"/>
      <c r="F554" s="627"/>
      <c r="G554" s="627"/>
      <c r="H554" s="627"/>
      <c r="I554" s="135">
        <f>SUM(I552:I553)</f>
        <v>149.79</v>
      </c>
    </row>
    <row r="560" spans="2:9" ht="13.5" thickBot="1"/>
    <row r="561" spans="1:11" ht="30" customHeight="1">
      <c r="B561" s="200" t="s">
        <v>55</v>
      </c>
      <c r="C561" s="474" t="str">
        <f>'Planilha Orçamentária'!B40</f>
        <v>2.14</v>
      </c>
      <c r="D561" s="639" t="s">
        <v>56</v>
      </c>
      <c r="E561" s="639"/>
      <c r="F561" s="639"/>
      <c r="G561" s="639"/>
      <c r="H561" s="639"/>
      <c r="I561" s="639"/>
    </row>
    <row r="562" spans="1:11" s="127" customFormat="1" ht="30" customHeight="1">
      <c r="B562" s="640" t="s">
        <v>332</v>
      </c>
      <c r="C562" s="641"/>
      <c r="D562" s="641"/>
      <c r="E562" s="641"/>
      <c r="F562" s="641"/>
      <c r="G562" s="642"/>
      <c r="H562" s="643" t="s">
        <v>700</v>
      </c>
      <c r="I562" s="644"/>
    </row>
    <row r="563" spans="1:11" ht="30" customHeight="1">
      <c r="B563" s="625" t="s">
        <v>175</v>
      </c>
      <c r="C563" s="625"/>
      <c r="D563" s="625"/>
      <c r="E563" s="625"/>
      <c r="F563" s="625"/>
      <c r="G563" s="625"/>
      <c r="H563" s="34" t="s">
        <v>57</v>
      </c>
      <c r="I563" s="126" t="s">
        <v>379</v>
      </c>
    </row>
    <row r="564" spans="1:11" s="127" customFormat="1" ht="30" customHeight="1">
      <c r="B564" s="626" t="s">
        <v>58</v>
      </c>
      <c r="C564" s="626"/>
      <c r="D564" s="626"/>
      <c r="E564" s="626"/>
      <c r="F564" s="626"/>
      <c r="G564" s="626"/>
      <c r="H564" s="626"/>
      <c r="I564" s="626"/>
    </row>
    <row r="565" spans="1:11" ht="25.5">
      <c r="A565" s="93"/>
      <c r="B565" s="35" t="s">
        <v>59</v>
      </c>
      <c r="C565" s="172" t="s">
        <v>5</v>
      </c>
      <c r="D565" s="36" t="s">
        <v>6</v>
      </c>
      <c r="E565" s="36" t="s">
        <v>61</v>
      </c>
      <c r="F565" s="36" t="s">
        <v>62</v>
      </c>
      <c r="G565" s="36" t="s">
        <v>63</v>
      </c>
      <c r="H565" s="36" t="s">
        <v>64</v>
      </c>
      <c r="I565" s="37" t="s">
        <v>65</v>
      </c>
    </row>
    <row r="566" spans="1:11" ht="15.95" customHeight="1">
      <c r="B566" s="97"/>
      <c r="C566" s="39"/>
      <c r="D566" s="140"/>
      <c r="E566" s="40"/>
      <c r="F566" s="40"/>
      <c r="G566" s="40"/>
      <c r="H566" s="40"/>
      <c r="I566" s="43">
        <f>H566*D566</f>
        <v>0</v>
      </c>
    </row>
    <row r="567" spans="1:11" ht="15.95" customHeight="1">
      <c r="B567" s="628" t="s">
        <v>69</v>
      </c>
      <c r="C567" s="628"/>
      <c r="D567" s="628"/>
      <c r="E567" s="628"/>
      <c r="F567" s="628"/>
      <c r="G567" s="628"/>
      <c r="H567" s="628"/>
      <c r="I567" s="95">
        <f>SUM(I566:I566)</f>
        <v>0</v>
      </c>
    </row>
    <row r="568" spans="1:11" s="127" customFormat="1" ht="30" customHeight="1">
      <c r="B568" s="626" t="s">
        <v>70</v>
      </c>
      <c r="C568" s="626"/>
      <c r="D568" s="626"/>
      <c r="E568" s="626"/>
      <c r="F568" s="626"/>
      <c r="G568" s="626"/>
      <c r="H568" s="626"/>
      <c r="I568" s="626"/>
    </row>
    <row r="569" spans="1:11">
      <c r="B569" s="96" t="s">
        <v>59</v>
      </c>
      <c r="C569" s="78" t="s">
        <v>5</v>
      </c>
      <c r="D569" s="40" t="s">
        <v>6</v>
      </c>
      <c r="E569" s="42"/>
      <c r="F569" s="42"/>
      <c r="G569" s="42"/>
      <c r="H569" s="40" t="s">
        <v>71</v>
      </c>
      <c r="I569" s="43" t="s">
        <v>65</v>
      </c>
    </row>
    <row r="570" spans="1:11" ht="15.95" customHeight="1">
      <c r="B570" s="97"/>
      <c r="C570" s="88"/>
      <c r="D570" s="89"/>
      <c r="E570" s="46"/>
      <c r="F570" s="46"/>
      <c r="G570" s="46"/>
      <c r="H570" s="47"/>
      <c r="I570" s="90">
        <f>H570*D570</f>
        <v>0</v>
      </c>
    </row>
    <row r="571" spans="1:11" ht="15.95" customHeight="1">
      <c r="B571" s="628" t="s">
        <v>69</v>
      </c>
      <c r="C571" s="628"/>
      <c r="D571" s="628"/>
      <c r="E571" s="628"/>
      <c r="F571" s="628"/>
      <c r="G571" s="628"/>
      <c r="H571" s="628"/>
      <c r="I571" s="90">
        <f>SUM(I570:I570)</f>
        <v>0</v>
      </c>
    </row>
    <row r="572" spans="1:11" s="127" customFormat="1" ht="30" customHeight="1">
      <c r="B572" s="626" t="s">
        <v>72</v>
      </c>
      <c r="C572" s="626"/>
      <c r="D572" s="626"/>
      <c r="E572" s="626"/>
      <c r="F572" s="626"/>
      <c r="G572" s="626"/>
      <c r="H572" s="626"/>
      <c r="I572" s="626"/>
    </row>
    <row r="573" spans="1:11" ht="15.95" customHeight="1">
      <c r="B573" s="45" t="s">
        <v>59</v>
      </c>
      <c r="C573" s="57" t="s">
        <v>5</v>
      </c>
      <c r="D573" s="47" t="s">
        <v>6</v>
      </c>
      <c r="E573" s="46"/>
      <c r="F573" s="46"/>
      <c r="G573" s="46"/>
      <c r="H573" s="47" t="s">
        <v>71</v>
      </c>
      <c r="I573" s="43" t="s">
        <v>65</v>
      </c>
    </row>
    <row r="574" spans="1:11" ht="15.95" customHeight="1">
      <c r="B574" s="84" t="s">
        <v>483</v>
      </c>
      <c r="C574" s="145" t="s">
        <v>379</v>
      </c>
      <c r="D574" s="47">
        <v>1</v>
      </c>
      <c r="E574" s="46"/>
      <c r="F574" s="46"/>
      <c r="G574" s="46"/>
      <c r="H574" s="56">
        <f>INSUMOS!E124</f>
        <v>599.1</v>
      </c>
      <c r="I574" s="90">
        <f>D574*H574</f>
        <v>599.1</v>
      </c>
      <c r="K574" s="51"/>
    </row>
    <row r="575" spans="1:11" ht="15.95" customHeight="1">
      <c r="B575" s="628" t="s">
        <v>69</v>
      </c>
      <c r="C575" s="628"/>
      <c r="D575" s="628"/>
      <c r="E575" s="628"/>
      <c r="F575" s="628"/>
      <c r="G575" s="628"/>
      <c r="H575" s="628"/>
      <c r="I575" s="90">
        <f>SUM(I574:I574)</f>
        <v>599.1</v>
      </c>
    </row>
    <row r="576" spans="1:11" s="127" customFormat="1" ht="30" customHeight="1">
      <c r="B576" s="626" t="s">
        <v>74</v>
      </c>
      <c r="C576" s="626"/>
      <c r="D576" s="626"/>
      <c r="E576" s="626"/>
      <c r="F576" s="626"/>
      <c r="G576" s="626"/>
      <c r="H576" s="626"/>
      <c r="I576" s="626"/>
    </row>
    <row r="577" spans="2:9" ht="15.95" customHeight="1">
      <c r="B577" s="96" t="s">
        <v>59</v>
      </c>
      <c r="C577" s="78" t="s">
        <v>5</v>
      </c>
      <c r="D577" s="110" t="s">
        <v>6</v>
      </c>
      <c r="E577" s="42"/>
      <c r="F577" s="42"/>
      <c r="G577" s="42"/>
      <c r="H577" s="40" t="s">
        <v>71</v>
      </c>
      <c r="I577" s="43" t="s">
        <v>65</v>
      </c>
    </row>
    <row r="578" spans="2:9" ht="15.95" customHeight="1">
      <c r="B578" s="91"/>
      <c r="C578" s="57"/>
      <c r="D578" s="40"/>
      <c r="E578" s="42"/>
      <c r="F578" s="42"/>
      <c r="G578" s="42"/>
      <c r="H578" s="40"/>
      <c r="I578" s="43">
        <f>H578*D578</f>
        <v>0</v>
      </c>
    </row>
    <row r="579" spans="2:9" ht="15.95" customHeight="1">
      <c r="B579" s="635" t="s">
        <v>576</v>
      </c>
      <c r="C579" s="635"/>
      <c r="D579" s="635"/>
      <c r="E579" s="635"/>
      <c r="F579" s="635"/>
      <c r="G579" s="635"/>
      <c r="H579" s="635"/>
      <c r="I579" s="90">
        <f>SUM(I578:I578)*0.9103</f>
        <v>0</v>
      </c>
    </row>
    <row r="580" spans="2:9" ht="15.95" customHeight="1">
      <c r="B580" s="628" t="s">
        <v>69</v>
      </c>
      <c r="C580" s="628"/>
      <c r="D580" s="628"/>
      <c r="E580" s="628"/>
      <c r="F580" s="628"/>
      <c r="G580" s="628"/>
      <c r="H580" s="628"/>
      <c r="I580" s="92">
        <f>SUM(I578:I579)</f>
        <v>0</v>
      </c>
    </row>
    <row r="581" spans="2:9" ht="15.95" customHeight="1">
      <c r="B581" s="54" t="s">
        <v>76</v>
      </c>
      <c r="C581" s="47">
        <v>1</v>
      </c>
      <c r="D581" s="652" t="s">
        <v>77</v>
      </c>
      <c r="E581" s="652"/>
      <c r="F581" s="652"/>
      <c r="G581" s="652"/>
      <c r="H581" s="652"/>
      <c r="I581" s="95">
        <f>I580+I575+I571+I567</f>
        <v>599.1</v>
      </c>
    </row>
    <row r="582" spans="2:9" ht="15.95" customHeight="1">
      <c r="B582" s="632"/>
      <c r="C582" s="633"/>
      <c r="D582" s="633"/>
      <c r="E582" s="633"/>
      <c r="F582" s="633"/>
      <c r="G582" s="633"/>
      <c r="H582" s="634"/>
      <c r="I582" s="95">
        <f>I581/C581</f>
        <v>599.1</v>
      </c>
    </row>
    <row r="583" spans="2:9" ht="15.95" customHeight="1">
      <c r="B583" s="139" t="s">
        <v>334</v>
      </c>
      <c r="C583" s="145">
        <f>BDI!C37</f>
        <v>24.5</v>
      </c>
      <c r="D583" s="146" t="s">
        <v>269</v>
      </c>
      <c r="E583" s="136"/>
      <c r="F583" s="136"/>
      <c r="G583" s="136"/>
      <c r="H583" s="137"/>
      <c r="I583" s="90">
        <f>C583/100*I582</f>
        <v>146.78</v>
      </c>
    </row>
    <row r="584" spans="2:9" s="127" customFormat="1" ht="30" customHeight="1" thickBot="1">
      <c r="B584" s="627" t="s">
        <v>78</v>
      </c>
      <c r="C584" s="627"/>
      <c r="D584" s="627"/>
      <c r="E584" s="627"/>
      <c r="F584" s="627"/>
      <c r="G584" s="627"/>
      <c r="H584" s="627"/>
      <c r="I584" s="135">
        <f>SUM(I582:I583)</f>
        <v>745.88</v>
      </c>
    </row>
    <row r="590" spans="2:9" ht="13.5" thickBot="1"/>
    <row r="591" spans="2:9" ht="30" customHeight="1">
      <c r="B591" s="200" t="s">
        <v>55</v>
      </c>
      <c r="C591" s="474" t="str">
        <f>'Planilha Orçamentária'!B41</f>
        <v>2.15</v>
      </c>
      <c r="D591" s="639" t="s">
        <v>56</v>
      </c>
      <c r="E591" s="639"/>
      <c r="F591" s="639"/>
      <c r="G591" s="639"/>
      <c r="H591" s="639"/>
      <c r="I591" s="639"/>
    </row>
    <row r="592" spans="2:9" s="127" customFormat="1" ht="30" customHeight="1">
      <c r="B592" s="640" t="s">
        <v>332</v>
      </c>
      <c r="C592" s="641"/>
      <c r="D592" s="641"/>
      <c r="E592" s="641"/>
      <c r="F592" s="641"/>
      <c r="G592" s="642"/>
      <c r="H592" s="643" t="s">
        <v>700</v>
      </c>
      <c r="I592" s="644"/>
    </row>
    <row r="593" spans="2:11" ht="28.5" customHeight="1">
      <c r="B593" s="705" t="s">
        <v>515</v>
      </c>
      <c r="C593" s="706"/>
      <c r="D593" s="706"/>
      <c r="E593" s="706"/>
      <c r="F593" s="706"/>
      <c r="G593" s="707"/>
      <c r="H593" s="34" t="s">
        <v>57</v>
      </c>
      <c r="I593" s="126" t="s">
        <v>32</v>
      </c>
      <c r="K593" s="101"/>
    </row>
    <row r="594" spans="2:11" s="127" customFormat="1" ht="30" customHeight="1">
      <c r="B594" s="704" t="s">
        <v>58</v>
      </c>
      <c r="C594" s="704"/>
      <c r="D594" s="704"/>
      <c r="E594" s="704"/>
      <c r="F594" s="704"/>
      <c r="G594" s="704"/>
      <c r="H594" s="704"/>
      <c r="I594" s="704"/>
    </row>
    <row r="595" spans="2:11" ht="25.5">
      <c r="B595" s="35" t="s">
        <v>59</v>
      </c>
      <c r="C595" s="36" t="s">
        <v>60</v>
      </c>
      <c r="D595" s="36" t="s">
        <v>6</v>
      </c>
      <c r="E595" s="36" t="s">
        <v>61</v>
      </c>
      <c r="F595" s="36" t="s">
        <v>62</v>
      </c>
      <c r="G595" s="36" t="s">
        <v>63</v>
      </c>
      <c r="H595" s="36" t="s">
        <v>64</v>
      </c>
      <c r="I595" s="37" t="s">
        <v>65</v>
      </c>
    </row>
    <row r="596" spans="2:11" ht="15.95" customHeight="1">
      <c r="B596" s="97" t="s">
        <v>125</v>
      </c>
      <c r="C596" s="88" t="s">
        <v>67</v>
      </c>
      <c r="D596" s="89">
        <v>0.6</v>
      </c>
      <c r="E596" s="47"/>
      <c r="F596" s="47"/>
      <c r="G596" s="56">
        <f>INSUMOS!E58</f>
        <v>2.94</v>
      </c>
      <c r="I596" s="90">
        <f>G596*D596</f>
        <v>1.76</v>
      </c>
    </row>
    <row r="597" spans="2:11" ht="15.95" customHeight="1">
      <c r="B597" s="628" t="s">
        <v>69</v>
      </c>
      <c r="C597" s="628"/>
      <c r="D597" s="628"/>
      <c r="E597" s="628"/>
      <c r="F597" s="628"/>
      <c r="G597" s="628"/>
      <c r="H597" s="628"/>
      <c r="I597" s="92">
        <f>SUM(I596:I596)</f>
        <v>1.76</v>
      </c>
    </row>
    <row r="598" spans="2:11" s="127" customFormat="1" ht="30" customHeight="1">
      <c r="B598" s="704" t="s">
        <v>70</v>
      </c>
      <c r="C598" s="704"/>
      <c r="D598" s="704"/>
      <c r="E598" s="704"/>
      <c r="F598" s="704"/>
      <c r="G598" s="704"/>
      <c r="H598" s="704"/>
      <c r="I598" s="704"/>
    </row>
    <row r="599" spans="2:11" ht="15.95" customHeight="1">
      <c r="B599" s="41" t="s">
        <v>59</v>
      </c>
      <c r="C599" s="40" t="s">
        <v>60</v>
      </c>
      <c r="D599" s="40" t="s">
        <v>6</v>
      </c>
      <c r="E599" s="36"/>
      <c r="F599" s="36"/>
      <c r="G599" s="36"/>
      <c r="H599" s="40" t="s">
        <v>71</v>
      </c>
      <c r="I599" s="43" t="s">
        <v>65</v>
      </c>
    </row>
    <row r="600" spans="2:11" ht="15.95" customHeight="1">
      <c r="B600" s="91" t="s">
        <v>168</v>
      </c>
      <c r="C600" s="40" t="s">
        <v>88</v>
      </c>
      <c r="D600" s="40">
        <v>340</v>
      </c>
      <c r="E600" s="42"/>
      <c r="F600" s="42"/>
      <c r="G600" s="36"/>
      <c r="H600" s="52">
        <f>INSUMOS!E40</f>
        <v>0.5</v>
      </c>
      <c r="I600" s="43">
        <f>D600*H600</f>
        <v>170</v>
      </c>
    </row>
    <row r="601" spans="2:11" ht="15.95" customHeight="1">
      <c r="B601" s="91" t="s">
        <v>170</v>
      </c>
      <c r="C601" s="40" t="s">
        <v>32</v>
      </c>
      <c r="D601" s="107">
        <v>0.63200000000000001</v>
      </c>
      <c r="E601" s="42"/>
      <c r="F601" s="42"/>
      <c r="G601" s="36"/>
      <c r="H601" s="52">
        <f>INSUMOS!E46</f>
        <v>70</v>
      </c>
      <c r="I601" s="43">
        <f>D601*H601</f>
        <v>44.24</v>
      </c>
    </row>
    <row r="602" spans="2:11" ht="15.95" customHeight="1">
      <c r="B602" s="91" t="s">
        <v>171</v>
      </c>
      <c r="C602" s="40" t="s">
        <v>32</v>
      </c>
      <c r="D602" s="47">
        <v>0.37</v>
      </c>
      <c r="E602" s="42"/>
      <c r="F602" s="42"/>
      <c r="G602" s="42"/>
      <c r="H602" s="52">
        <f>INSUMOS!E41</f>
        <v>68.13</v>
      </c>
      <c r="I602" s="43">
        <f>H602*D602</f>
        <v>25.21</v>
      </c>
    </row>
    <row r="603" spans="2:11" ht="15.95" customHeight="1">
      <c r="B603" s="91" t="s">
        <v>172</v>
      </c>
      <c r="C603" s="40" t="s">
        <v>32</v>
      </c>
      <c r="D603" s="47">
        <v>0.37</v>
      </c>
      <c r="E603" s="42"/>
      <c r="F603" s="42"/>
      <c r="G603" s="42"/>
      <c r="H603" s="52">
        <f>INSUMOS!E42</f>
        <v>65.8</v>
      </c>
      <c r="I603" s="43">
        <f>H603*D603</f>
        <v>24.35</v>
      </c>
    </row>
    <row r="604" spans="2:11" ht="15.95" customHeight="1">
      <c r="B604" s="108" t="s">
        <v>173</v>
      </c>
      <c r="C604" s="47" t="s">
        <v>88</v>
      </c>
      <c r="D604" s="47">
        <v>20</v>
      </c>
      <c r="E604" s="46"/>
      <c r="F604" s="46"/>
      <c r="G604" s="46"/>
      <c r="H604" s="56">
        <f>INSUMOS!E68</f>
        <v>3.31</v>
      </c>
      <c r="I604" s="90">
        <f>D604*H604</f>
        <v>66.2</v>
      </c>
      <c r="J604" s="51"/>
    </row>
    <row r="605" spans="2:11" ht="15.95" customHeight="1">
      <c r="B605" s="123" t="s">
        <v>174</v>
      </c>
      <c r="C605" s="110" t="s">
        <v>85</v>
      </c>
      <c r="D605" s="40">
        <v>0.64</v>
      </c>
      <c r="E605" s="42"/>
      <c r="F605" s="42"/>
      <c r="G605" s="42"/>
      <c r="H605" s="52">
        <f>INSUMOS!E89</f>
        <v>15.41</v>
      </c>
      <c r="I605" s="43">
        <f>D605*H605</f>
        <v>9.86</v>
      </c>
      <c r="K605" s="33">
        <f>70/20</f>
        <v>3.5</v>
      </c>
    </row>
    <row r="606" spans="2:11" ht="15.95" customHeight="1">
      <c r="B606" s="123" t="s">
        <v>347</v>
      </c>
      <c r="C606" s="207" t="s">
        <v>88</v>
      </c>
      <c r="D606" s="208">
        <v>0.7</v>
      </c>
      <c r="E606" s="209"/>
      <c r="F606" s="202"/>
      <c r="G606" s="202"/>
      <c r="H606" s="203">
        <f>INSUMOS!E34</f>
        <v>6.51</v>
      </c>
      <c r="I606" s="43">
        <f>D606*H606</f>
        <v>4.5599999999999996</v>
      </c>
      <c r="K606" s="33">
        <f>2.5/3.5</f>
        <v>0.71</v>
      </c>
    </row>
    <row r="607" spans="2:11" ht="15.95" customHeight="1">
      <c r="B607" s="204" t="s">
        <v>348</v>
      </c>
      <c r="C607" s="162" t="s">
        <v>94</v>
      </c>
      <c r="D607" s="162">
        <v>0.34</v>
      </c>
      <c r="E607" s="164"/>
      <c r="F607" s="205"/>
      <c r="G607" s="205"/>
      <c r="H607" s="206">
        <f>INSUMOS!E75</f>
        <v>9.2100000000000009</v>
      </c>
      <c r="I607" s="43">
        <f>D607*H607</f>
        <v>3.13</v>
      </c>
      <c r="K607" s="33">
        <f>1.2/3.5</f>
        <v>0.34</v>
      </c>
    </row>
    <row r="608" spans="2:11" ht="15.95" customHeight="1">
      <c r="B608" s="665" t="s">
        <v>69</v>
      </c>
      <c r="C608" s="665"/>
      <c r="D608" s="665"/>
      <c r="E608" s="665"/>
      <c r="F608" s="665"/>
      <c r="G608" s="665"/>
      <c r="H608" s="665"/>
      <c r="I608" s="92">
        <f>SUM(I600:I607)</f>
        <v>347.55</v>
      </c>
    </row>
    <row r="609" spans="2:9" s="127" customFormat="1" ht="30" customHeight="1">
      <c r="B609" s="704" t="s">
        <v>72</v>
      </c>
      <c r="C609" s="704"/>
      <c r="D609" s="704"/>
      <c r="E609" s="704"/>
      <c r="F609" s="704"/>
      <c r="G609" s="704"/>
      <c r="H609" s="704"/>
      <c r="I609" s="704"/>
    </row>
    <row r="610" spans="2:9">
      <c r="B610" s="45" t="s">
        <v>59</v>
      </c>
      <c r="C610" s="47" t="s">
        <v>60</v>
      </c>
      <c r="D610" s="47" t="s">
        <v>6</v>
      </c>
      <c r="E610" s="46"/>
      <c r="F610" s="46"/>
      <c r="G610" s="46"/>
      <c r="H610" s="47" t="s">
        <v>71</v>
      </c>
      <c r="I610" s="43" t="s">
        <v>65</v>
      </c>
    </row>
    <row r="611" spans="2:9">
      <c r="B611" s="48"/>
      <c r="C611" s="47"/>
      <c r="D611" s="47"/>
      <c r="E611" s="46"/>
      <c r="F611" s="46"/>
      <c r="G611" s="46"/>
      <c r="H611" s="47"/>
      <c r="I611" s="43">
        <v>0</v>
      </c>
    </row>
    <row r="612" spans="2:9">
      <c r="B612" s="628" t="s">
        <v>69</v>
      </c>
      <c r="C612" s="628"/>
      <c r="D612" s="628"/>
      <c r="E612" s="628"/>
      <c r="F612" s="628"/>
      <c r="G612" s="628"/>
      <c r="H612" s="628"/>
      <c r="I612" s="43">
        <v>0</v>
      </c>
    </row>
    <row r="613" spans="2:9" s="127" customFormat="1" ht="30" customHeight="1">
      <c r="B613" s="704" t="s">
        <v>74</v>
      </c>
      <c r="C613" s="704"/>
      <c r="D613" s="704"/>
      <c r="E613" s="704"/>
      <c r="F613" s="704"/>
      <c r="G613" s="704"/>
      <c r="H613" s="704"/>
      <c r="I613" s="704"/>
    </row>
    <row r="614" spans="2:9" s="127" customFormat="1" ht="15.95" customHeight="1">
      <c r="B614" s="149" t="s">
        <v>59</v>
      </c>
      <c r="C614" s="47" t="s">
        <v>60</v>
      </c>
      <c r="D614" s="47" t="s">
        <v>6</v>
      </c>
      <c r="E614" s="46"/>
      <c r="F614" s="46"/>
      <c r="G614" s="46"/>
      <c r="H614" s="47" t="s">
        <v>71</v>
      </c>
      <c r="I614" s="90" t="s">
        <v>65</v>
      </c>
    </row>
    <row r="615" spans="2:9" ht="15.95" customHeight="1">
      <c r="B615" s="91" t="s">
        <v>149</v>
      </c>
      <c r="C615" s="40" t="s">
        <v>67</v>
      </c>
      <c r="D615" s="47">
        <v>3</v>
      </c>
      <c r="E615" s="46"/>
      <c r="F615" s="46"/>
      <c r="G615" s="46"/>
      <c r="H615" s="56">
        <f>INSUMOS!E19</f>
        <v>4.55</v>
      </c>
      <c r="I615" s="87">
        <f>D615*H615</f>
        <v>13.65</v>
      </c>
    </row>
    <row r="616" spans="2:9" ht="15.95" customHeight="1">
      <c r="B616" s="91" t="s">
        <v>75</v>
      </c>
      <c r="C616" s="47" t="s">
        <v>67</v>
      </c>
      <c r="D616" s="47">
        <v>13</v>
      </c>
      <c r="E616" s="46"/>
      <c r="F616" s="46"/>
      <c r="G616" s="46"/>
      <c r="H616" s="56">
        <f>INSUMOS!E14</f>
        <v>3.42</v>
      </c>
      <c r="I616" s="87">
        <f>D616*H616</f>
        <v>44.46</v>
      </c>
    </row>
    <row r="617" spans="2:9" ht="15.95" customHeight="1">
      <c r="B617" s="635" t="s">
        <v>576</v>
      </c>
      <c r="C617" s="635"/>
      <c r="D617" s="635"/>
      <c r="E617" s="635"/>
      <c r="F617" s="635"/>
      <c r="G617" s="635"/>
      <c r="H617" s="635"/>
      <c r="I617" s="100">
        <f>SUM(I615:I616)*0.9103</f>
        <v>52.9</v>
      </c>
    </row>
    <row r="618" spans="2:9" ht="15.95" customHeight="1">
      <c r="B618" s="628" t="s">
        <v>69</v>
      </c>
      <c r="C618" s="628"/>
      <c r="D618" s="628"/>
      <c r="E618" s="628"/>
      <c r="F618" s="628"/>
      <c r="G618" s="628"/>
      <c r="H618" s="628"/>
      <c r="I618" s="92">
        <f>SUM(I615:I617)</f>
        <v>111.01</v>
      </c>
    </row>
    <row r="619" spans="2:9" ht="15.95" customHeight="1">
      <c r="B619" s="54" t="s">
        <v>76</v>
      </c>
      <c r="C619" s="47">
        <v>1</v>
      </c>
      <c r="D619" s="652" t="s">
        <v>77</v>
      </c>
      <c r="E619" s="652"/>
      <c r="F619" s="652"/>
      <c r="G619" s="652"/>
      <c r="H619" s="652"/>
      <c r="I619" s="92">
        <f>I597+I608+I612+I618</f>
        <v>460.32</v>
      </c>
    </row>
    <row r="620" spans="2:9" ht="15.95" customHeight="1">
      <c r="B620" s="632"/>
      <c r="C620" s="633"/>
      <c r="D620" s="633"/>
      <c r="E620" s="633"/>
      <c r="F620" s="633"/>
      <c r="G620" s="633"/>
      <c r="H620" s="634"/>
      <c r="I620" s="92">
        <f>I619/C619</f>
        <v>460.32</v>
      </c>
    </row>
    <row r="621" spans="2:9" ht="15.95" customHeight="1">
      <c r="B621" s="139" t="s">
        <v>334</v>
      </c>
      <c r="C621" s="145">
        <f>BDI!C37</f>
        <v>24.5</v>
      </c>
      <c r="D621" s="146" t="s">
        <v>269</v>
      </c>
      <c r="E621" s="136"/>
      <c r="F621" s="136"/>
      <c r="G621" s="136"/>
      <c r="H621" s="137"/>
      <c r="I621" s="90">
        <f>C621/100*I620</f>
        <v>112.78</v>
      </c>
    </row>
    <row r="622" spans="2:9" s="127" customFormat="1" ht="30" customHeight="1" thickBot="1">
      <c r="B622" s="627" t="s">
        <v>78</v>
      </c>
      <c r="C622" s="627"/>
      <c r="D622" s="627"/>
      <c r="E622" s="627"/>
      <c r="F622" s="627"/>
      <c r="G622" s="627"/>
      <c r="H622" s="627"/>
      <c r="I622" s="135">
        <f>SUM(I620:I621)</f>
        <v>573.1</v>
      </c>
    </row>
    <row r="629" spans="2:10" ht="13.5" thickBot="1"/>
    <row r="630" spans="2:10" s="127" customFormat="1" ht="30" customHeight="1">
      <c r="B630" s="200" t="s">
        <v>55</v>
      </c>
      <c r="C630" s="474" t="str">
        <f>'Planilha Orçamentária'!B45</f>
        <v>3.3</v>
      </c>
      <c r="D630" s="639" t="s">
        <v>56</v>
      </c>
      <c r="E630" s="639"/>
      <c r="F630" s="639"/>
      <c r="G630" s="639"/>
      <c r="H630" s="639"/>
      <c r="I630" s="639"/>
    </row>
    <row r="631" spans="2:10" s="127" customFormat="1" ht="30" customHeight="1">
      <c r="B631" s="640" t="s">
        <v>332</v>
      </c>
      <c r="C631" s="641"/>
      <c r="D631" s="641"/>
      <c r="E631" s="641"/>
      <c r="F631" s="641"/>
      <c r="G631" s="642"/>
      <c r="H631" s="643" t="s">
        <v>700</v>
      </c>
      <c r="I631" s="644"/>
    </row>
    <row r="632" spans="2:10" s="127" customFormat="1" ht="30" customHeight="1">
      <c r="B632" s="648" t="s">
        <v>502</v>
      </c>
      <c r="C632" s="648"/>
      <c r="D632" s="648"/>
      <c r="E632" s="648"/>
      <c r="F632" s="648"/>
      <c r="G632" s="648"/>
      <c r="H632" s="34" t="s">
        <v>57</v>
      </c>
      <c r="I632" s="126" t="s">
        <v>379</v>
      </c>
    </row>
    <row r="633" spans="2:10" s="127" customFormat="1" ht="30" customHeight="1">
      <c r="B633" s="626" t="s">
        <v>58</v>
      </c>
      <c r="C633" s="626"/>
      <c r="D633" s="626"/>
      <c r="E633" s="626"/>
      <c r="F633" s="626"/>
      <c r="G633" s="626"/>
      <c r="H633" s="626"/>
      <c r="I633" s="626"/>
    </row>
    <row r="634" spans="2:10" s="93" customFormat="1" ht="25.5">
      <c r="B634" s="35" t="s">
        <v>59</v>
      </c>
      <c r="C634" s="172" t="s">
        <v>5</v>
      </c>
      <c r="D634" s="36" t="s">
        <v>6</v>
      </c>
      <c r="E634" s="36" t="s">
        <v>61</v>
      </c>
      <c r="F634" s="36" t="s">
        <v>62</v>
      </c>
      <c r="G634" s="36" t="s">
        <v>63</v>
      </c>
      <c r="H634" s="36" t="s">
        <v>64</v>
      </c>
      <c r="I634" s="37" t="s">
        <v>65</v>
      </c>
    </row>
    <row r="635" spans="2:10" ht="15.95" customHeight="1">
      <c r="B635" s="84" t="s">
        <v>96</v>
      </c>
      <c r="C635" s="85" t="s">
        <v>67</v>
      </c>
      <c r="D635" s="86">
        <v>22.8</v>
      </c>
      <c r="E635" s="49">
        <v>1</v>
      </c>
      <c r="F635" s="49"/>
      <c r="G635" s="56">
        <f>INSUMOS!E99</f>
        <v>3.17</v>
      </c>
      <c r="H635" s="49"/>
      <c r="I635" s="87">
        <f>D635*E635*G635+D635*F635*H635</f>
        <v>72.28</v>
      </c>
      <c r="J635" s="51"/>
    </row>
    <row r="636" spans="2:10" ht="15.95" customHeight="1">
      <c r="B636" s="628" t="s">
        <v>69</v>
      </c>
      <c r="C636" s="628"/>
      <c r="D636" s="628"/>
      <c r="E636" s="628"/>
      <c r="F636" s="628"/>
      <c r="G636" s="628"/>
      <c r="H636" s="628"/>
      <c r="I636" s="95">
        <f>SUM(I635:I635)</f>
        <v>72.28</v>
      </c>
    </row>
    <row r="637" spans="2:10" s="127" customFormat="1" ht="30" customHeight="1">
      <c r="B637" s="626" t="s">
        <v>70</v>
      </c>
      <c r="C637" s="626"/>
      <c r="D637" s="626"/>
      <c r="E637" s="626"/>
      <c r="F637" s="626"/>
      <c r="G637" s="626"/>
      <c r="H637" s="626"/>
      <c r="I637" s="626"/>
    </row>
    <row r="638" spans="2:10" ht="15.95" customHeight="1">
      <c r="B638" s="179" t="s">
        <v>59</v>
      </c>
      <c r="C638" s="180" t="s">
        <v>5</v>
      </c>
      <c r="D638" s="47" t="s">
        <v>6</v>
      </c>
      <c r="E638" s="46"/>
      <c r="F638" s="46"/>
      <c r="G638" s="46"/>
      <c r="H638" s="47" t="s">
        <v>71</v>
      </c>
      <c r="I638" s="90" t="s">
        <v>65</v>
      </c>
    </row>
    <row r="639" spans="2:10" ht="15.95" customHeight="1">
      <c r="B639" s="97" t="s">
        <v>97</v>
      </c>
      <c r="C639" s="88" t="s">
        <v>94</v>
      </c>
      <c r="D639" s="89">
        <v>0.3</v>
      </c>
      <c r="E639" s="46"/>
      <c r="F639" s="46"/>
      <c r="G639" s="46"/>
      <c r="H639" s="56">
        <f>INSUMOS!E33</f>
        <v>14</v>
      </c>
      <c r="I639" s="90">
        <f>H639*D639</f>
        <v>4.2</v>
      </c>
    </row>
    <row r="640" spans="2:10" ht="15.95" customHeight="1">
      <c r="B640" s="38" t="s">
        <v>98</v>
      </c>
      <c r="C640" s="88" t="s">
        <v>94</v>
      </c>
      <c r="D640" s="89">
        <v>123.32</v>
      </c>
      <c r="E640" s="46"/>
      <c r="F640" s="46"/>
      <c r="G640" s="46"/>
      <c r="H640" s="56">
        <f>INSUMOS!E32</f>
        <v>2.38</v>
      </c>
      <c r="I640" s="90">
        <f>H640*D640</f>
        <v>293.5</v>
      </c>
    </row>
    <row r="641" spans="2:9" ht="15.95" customHeight="1">
      <c r="B641" s="628" t="s">
        <v>69</v>
      </c>
      <c r="C641" s="628"/>
      <c r="D641" s="628"/>
      <c r="E641" s="628"/>
      <c r="F641" s="628"/>
      <c r="G641" s="628"/>
      <c r="H641" s="628"/>
      <c r="I641" s="90">
        <f>SUM(I639:I640)</f>
        <v>297.7</v>
      </c>
    </row>
    <row r="642" spans="2:9" s="127" customFormat="1" ht="30" customHeight="1">
      <c r="B642" s="626" t="s">
        <v>72</v>
      </c>
      <c r="C642" s="626"/>
      <c r="D642" s="626"/>
      <c r="E642" s="626"/>
      <c r="F642" s="626"/>
      <c r="G642" s="626"/>
      <c r="H642" s="626"/>
      <c r="I642" s="626"/>
    </row>
    <row r="643" spans="2:9" ht="15.95" customHeight="1">
      <c r="B643" s="45" t="s">
        <v>59</v>
      </c>
      <c r="C643" s="71" t="s">
        <v>5</v>
      </c>
      <c r="D643" s="47" t="s">
        <v>6</v>
      </c>
      <c r="E643" s="46"/>
      <c r="F643" s="46"/>
      <c r="G643" s="46"/>
      <c r="H643" s="47" t="s">
        <v>71</v>
      </c>
      <c r="I643" s="90" t="s">
        <v>65</v>
      </c>
    </row>
    <row r="644" spans="2:9" ht="15.95" customHeight="1">
      <c r="B644" s="264"/>
      <c r="C644" s="47"/>
      <c r="D644" s="47"/>
      <c r="E644" s="46"/>
      <c r="F644" s="46"/>
      <c r="G644" s="46"/>
      <c r="H644" s="47"/>
      <c r="I644" s="90">
        <f>D644*H644</f>
        <v>0</v>
      </c>
    </row>
    <row r="645" spans="2:9" ht="15.95" customHeight="1">
      <c r="B645" s="628" t="s">
        <v>69</v>
      </c>
      <c r="C645" s="628"/>
      <c r="D645" s="628"/>
      <c r="E645" s="628"/>
      <c r="F645" s="628"/>
      <c r="G645" s="628"/>
      <c r="H645" s="628"/>
      <c r="I645" s="90">
        <f>SUM(I644:I644)</f>
        <v>0</v>
      </c>
    </row>
    <row r="646" spans="2:9" s="127" customFormat="1" ht="30" customHeight="1">
      <c r="B646" s="626" t="s">
        <v>74</v>
      </c>
      <c r="C646" s="626"/>
      <c r="D646" s="626"/>
      <c r="E646" s="626"/>
      <c r="F646" s="626"/>
      <c r="G646" s="626"/>
      <c r="H646" s="626"/>
      <c r="I646" s="626"/>
    </row>
    <row r="647" spans="2:9" ht="15.95" customHeight="1">
      <c r="B647" s="179" t="s">
        <v>59</v>
      </c>
      <c r="C647" s="180" t="s">
        <v>5</v>
      </c>
      <c r="D647" s="144" t="s">
        <v>6</v>
      </c>
      <c r="E647" s="46"/>
      <c r="F647" s="46"/>
      <c r="G647" s="46"/>
      <c r="H647" s="47" t="s">
        <v>71</v>
      </c>
      <c r="I647" s="90" t="s">
        <v>65</v>
      </c>
    </row>
    <row r="648" spans="2:9" ht="15.95" customHeight="1">
      <c r="B648" s="53" t="s">
        <v>99</v>
      </c>
      <c r="C648" s="71" t="s">
        <v>67</v>
      </c>
      <c r="D648" s="47">
        <v>5.5</v>
      </c>
      <c r="E648" s="46"/>
      <c r="F648" s="46"/>
      <c r="G648" s="46"/>
      <c r="H648" s="56">
        <f>INSUMOS!E17</f>
        <v>9.94</v>
      </c>
      <c r="I648" s="90">
        <f>H648*D648</f>
        <v>54.67</v>
      </c>
    </row>
    <row r="649" spans="2:9" ht="15.95" customHeight="1">
      <c r="B649" s="91" t="s">
        <v>75</v>
      </c>
      <c r="C649" s="71" t="s">
        <v>67</v>
      </c>
      <c r="D649" s="47">
        <v>15</v>
      </c>
      <c r="E649" s="46"/>
      <c r="F649" s="46"/>
      <c r="G649" s="46"/>
      <c r="H649" s="56">
        <f>INSUMOS!E14</f>
        <v>3.42</v>
      </c>
      <c r="I649" s="90">
        <f>H649*D649</f>
        <v>51.3</v>
      </c>
    </row>
    <row r="650" spans="2:9" ht="15.95" customHeight="1">
      <c r="B650" s="91" t="s">
        <v>100</v>
      </c>
      <c r="C650" s="71" t="s">
        <v>67</v>
      </c>
      <c r="D650" s="47">
        <v>5.5</v>
      </c>
      <c r="E650" s="46"/>
      <c r="F650" s="46"/>
      <c r="G650" s="46"/>
      <c r="H650" s="56">
        <f>INSUMOS!E13</f>
        <v>7.5</v>
      </c>
      <c r="I650" s="90">
        <f>H650*D650</f>
        <v>41.25</v>
      </c>
    </row>
    <row r="651" spans="2:9" ht="15.95" customHeight="1">
      <c r="B651" s="635" t="s">
        <v>576</v>
      </c>
      <c r="C651" s="635"/>
      <c r="D651" s="635"/>
      <c r="E651" s="635"/>
      <c r="F651" s="635"/>
      <c r="G651" s="635"/>
      <c r="H651" s="635"/>
      <c r="I651" s="90">
        <f>SUM(I648:I650)*0.9103</f>
        <v>134.01</v>
      </c>
    </row>
    <row r="652" spans="2:9" ht="15.95" customHeight="1">
      <c r="B652" s="628" t="s">
        <v>69</v>
      </c>
      <c r="C652" s="628"/>
      <c r="D652" s="628"/>
      <c r="E652" s="628"/>
      <c r="F652" s="628"/>
      <c r="G652" s="628"/>
      <c r="H652" s="628"/>
      <c r="I652" s="95">
        <f>SUM(I648:I651)</f>
        <v>281.23</v>
      </c>
    </row>
    <row r="653" spans="2:9" ht="15.95" customHeight="1">
      <c r="B653" s="147" t="s">
        <v>76</v>
      </c>
      <c r="C653" s="148">
        <v>1</v>
      </c>
      <c r="D653" s="636" t="s">
        <v>77</v>
      </c>
      <c r="E653" s="637"/>
      <c r="F653" s="637"/>
      <c r="G653" s="637"/>
      <c r="H653" s="638"/>
      <c r="I653" s="95">
        <f>I652+I645+I641+I636</f>
        <v>651.21</v>
      </c>
    </row>
    <row r="654" spans="2:9" ht="15.95" customHeight="1">
      <c r="B654" s="632"/>
      <c r="C654" s="633"/>
      <c r="D654" s="633"/>
      <c r="E654" s="633"/>
      <c r="F654" s="633"/>
      <c r="G654" s="633"/>
      <c r="H654" s="634"/>
      <c r="I654" s="95">
        <f>I653/C653</f>
        <v>651.21</v>
      </c>
    </row>
    <row r="655" spans="2:9" ht="15.95" customHeight="1">
      <c r="B655" s="139" t="s">
        <v>334</v>
      </c>
      <c r="C655" s="145">
        <f>BDI!C37</f>
        <v>24.5</v>
      </c>
      <c r="D655" s="146" t="s">
        <v>269</v>
      </c>
      <c r="E655" s="136"/>
      <c r="F655" s="136"/>
      <c r="G655" s="136"/>
      <c r="H655" s="137"/>
      <c r="I655" s="90">
        <f>C655/100*I654</f>
        <v>159.55000000000001</v>
      </c>
    </row>
    <row r="656" spans="2:9" s="127" customFormat="1" ht="30" customHeight="1" thickBot="1">
      <c r="B656" s="627" t="s">
        <v>78</v>
      </c>
      <c r="C656" s="627"/>
      <c r="D656" s="627"/>
      <c r="E656" s="627"/>
      <c r="F656" s="627"/>
      <c r="G656" s="627"/>
      <c r="H656" s="627"/>
      <c r="I656" s="135">
        <f>SUM(I654:I655)</f>
        <v>810.76</v>
      </c>
    </row>
    <row r="661" spans="1:9" ht="13.5" thickBot="1"/>
    <row r="662" spans="1:9" s="127" customFormat="1" ht="30" customHeight="1">
      <c r="B662" s="277" t="s">
        <v>55</v>
      </c>
      <c r="C662" s="474" t="str">
        <f>'Planilha Orçamentária'!B46</f>
        <v>3.4</v>
      </c>
      <c r="D662" s="669" t="s">
        <v>56</v>
      </c>
      <c r="E662" s="669"/>
      <c r="F662" s="669"/>
      <c r="G662" s="669"/>
      <c r="H662" s="669"/>
      <c r="I662" s="670"/>
    </row>
    <row r="663" spans="1:9" s="127" customFormat="1" ht="30" customHeight="1">
      <c r="B663" s="666" t="s">
        <v>383</v>
      </c>
      <c r="C663" s="656"/>
      <c r="D663" s="656"/>
      <c r="E663" s="656"/>
      <c r="F663" s="656"/>
      <c r="G663" s="657"/>
      <c r="H663" s="643" t="s">
        <v>700</v>
      </c>
      <c r="I663" s="667"/>
    </row>
    <row r="664" spans="1:9" s="127" customFormat="1" ht="30" customHeight="1">
      <c r="B664" s="673" t="s">
        <v>392</v>
      </c>
      <c r="C664" s="648"/>
      <c r="D664" s="648"/>
      <c r="E664" s="648"/>
      <c r="F664" s="648"/>
      <c r="G664" s="648"/>
      <c r="H664" s="34" t="s">
        <v>57</v>
      </c>
      <c r="I664" s="211" t="s">
        <v>27</v>
      </c>
    </row>
    <row r="665" spans="1:9" s="127" customFormat="1" ht="30" customHeight="1">
      <c r="B665" s="629" t="s">
        <v>58</v>
      </c>
      <c r="C665" s="626"/>
      <c r="D665" s="626"/>
      <c r="E665" s="626"/>
      <c r="F665" s="626"/>
      <c r="G665" s="626"/>
      <c r="H665" s="626"/>
      <c r="I665" s="630"/>
    </row>
    <row r="666" spans="1:9" ht="25.5">
      <c r="A666" s="93"/>
      <c r="B666" s="212" t="s">
        <v>59</v>
      </c>
      <c r="C666" s="172" t="s">
        <v>5</v>
      </c>
      <c r="D666" s="36" t="s">
        <v>6</v>
      </c>
      <c r="E666" s="36" t="s">
        <v>61</v>
      </c>
      <c r="F666" s="36" t="s">
        <v>62</v>
      </c>
      <c r="G666" s="36" t="s">
        <v>63</v>
      </c>
      <c r="H666" s="36" t="s">
        <v>64</v>
      </c>
      <c r="I666" s="213" t="s">
        <v>65</v>
      </c>
    </row>
    <row r="667" spans="1:9" ht="15" customHeight="1">
      <c r="B667" s="84" t="s">
        <v>96</v>
      </c>
      <c r="C667" s="85" t="s">
        <v>67</v>
      </c>
      <c r="D667" s="86">
        <v>1.35</v>
      </c>
      <c r="E667" s="49">
        <v>1</v>
      </c>
      <c r="F667" s="49"/>
      <c r="G667" s="56">
        <f>INSUMOS!E99</f>
        <v>3.17</v>
      </c>
      <c r="H667" s="49"/>
      <c r="I667" s="278">
        <f>D667*G667</f>
        <v>4.28</v>
      </c>
    </row>
    <row r="668" spans="1:9" ht="15" customHeight="1">
      <c r="B668" s="97" t="s">
        <v>102</v>
      </c>
      <c r="C668" s="88" t="s">
        <v>67</v>
      </c>
      <c r="D668" s="89">
        <v>0.78</v>
      </c>
      <c r="E668" s="47">
        <v>1</v>
      </c>
      <c r="F668" s="274"/>
      <c r="G668" s="237">
        <f>INSUMOS!E101</f>
        <v>13.73</v>
      </c>
      <c r="H668" s="274"/>
      <c r="I668" s="278">
        <f>D668*G668</f>
        <v>10.71</v>
      </c>
    </row>
    <row r="669" spans="1:9" ht="15.95" customHeight="1">
      <c r="B669" s="631" t="s">
        <v>69</v>
      </c>
      <c r="C669" s="628"/>
      <c r="D669" s="628"/>
      <c r="E669" s="628"/>
      <c r="F669" s="628"/>
      <c r="G669" s="628"/>
      <c r="H669" s="628"/>
      <c r="I669" s="228">
        <f>SUM(I667:I668)</f>
        <v>14.99</v>
      </c>
    </row>
    <row r="670" spans="1:9" s="127" customFormat="1" ht="30" customHeight="1">
      <c r="B670" s="629" t="s">
        <v>70</v>
      </c>
      <c r="C670" s="626"/>
      <c r="D670" s="626"/>
      <c r="E670" s="626"/>
      <c r="F670" s="626"/>
      <c r="G670" s="626"/>
      <c r="H670" s="626"/>
      <c r="I670" s="630"/>
    </row>
    <row r="671" spans="1:9" ht="15" customHeight="1">
      <c r="B671" s="291" t="s">
        <v>59</v>
      </c>
      <c r="C671" s="180" t="s">
        <v>5</v>
      </c>
      <c r="D671" s="47" t="s">
        <v>6</v>
      </c>
      <c r="E671" s="46"/>
      <c r="F671" s="46"/>
      <c r="G671" s="46"/>
      <c r="H671" s="47" t="s">
        <v>71</v>
      </c>
      <c r="I671" s="232" t="s">
        <v>65</v>
      </c>
    </row>
    <row r="672" spans="1:9" ht="15" customHeight="1">
      <c r="B672" s="279"/>
      <c r="C672" s="88"/>
      <c r="D672" s="89"/>
      <c r="E672" s="46"/>
      <c r="F672" s="46"/>
      <c r="G672" s="46"/>
      <c r="H672" s="47"/>
      <c r="I672" s="232">
        <f>H672*D672</f>
        <v>0</v>
      </c>
    </row>
    <row r="673" spans="2:9" ht="15" customHeight="1">
      <c r="B673" s="631" t="s">
        <v>69</v>
      </c>
      <c r="C673" s="628"/>
      <c r="D673" s="628"/>
      <c r="E673" s="628"/>
      <c r="F673" s="628"/>
      <c r="G673" s="628"/>
      <c r="H673" s="628"/>
      <c r="I673" s="232">
        <f>SUM(I672:I672)</f>
        <v>0</v>
      </c>
    </row>
    <row r="674" spans="2:9" s="127" customFormat="1" ht="30" customHeight="1">
      <c r="B674" s="629" t="s">
        <v>72</v>
      </c>
      <c r="C674" s="626"/>
      <c r="D674" s="626"/>
      <c r="E674" s="626"/>
      <c r="F674" s="626"/>
      <c r="G674" s="626"/>
      <c r="H674" s="626"/>
      <c r="I674" s="630"/>
    </row>
    <row r="675" spans="2:9" ht="15" customHeight="1">
      <c r="B675" s="280" t="s">
        <v>59</v>
      </c>
      <c r="C675" s="71" t="s">
        <v>5</v>
      </c>
      <c r="D675" s="47" t="s">
        <v>6</v>
      </c>
      <c r="E675" s="46"/>
      <c r="F675" s="46"/>
      <c r="G675" s="46"/>
      <c r="H675" s="47" t="s">
        <v>71</v>
      </c>
      <c r="I675" s="232" t="s">
        <v>65</v>
      </c>
    </row>
    <row r="676" spans="2:9" ht="15" customHeight="1">
      <c r="B676" s="281"/>
      <c r="C676" s="47"/>
      <c r="D676" s="47"/>
      <c r="E676" s="46"/>
      <c r="F676" s="46"/>
      <c r="G676" s="46"/>
      <c r="H676" s="47"/>
      <c r="I676" s="232">
        <f>D676*H676</f>
        <v>0</v>
      </c>
    </row>
    <row r="677" spans="2:9" ht="15" customHeight="1">
      <c r="B677" s="631" t="s">
        <v>69</v>
      </c>
      <c r="C677" s="628"/>
      <c r="D677" s="628"/>
      <c r="E677" s="628"/>
      <c r="F677" s="628"/>
      <c r="G677" s="628"/>
      <c r="H677" s="628"/>
      <c r="I677" s="232">
        <f>SUM(I676:I676)</f>
        <v>0</v>
      </c>
    </row>
    <row r="678" spans="2:9" s="127" customFormat="1" ht="30" customHeight="1">
      <c r="B678" s="629" t="s">
        <v>74</v>
      </c>
      <c r="C678" s="626"/>
      <c r="D678" s="626"/>
      <c r="E678" s="626"/>
      <c r="F678" s="626"/>
      <c r="G678" s="626"/>
      <c r="H678" s="626"/>
      <c r="I678" s="630"/>
    </row>
    <row r="679" spans="2:9" ht="15.95" customHeight="1">
      <c r="B679" s="291" t="s">
        <v>59</v>
      </c>
      <c r="C679" s="180" t="s">
        <v>5</v>
      </c>
      <c r="D679" s="144" t="s">
        <v>6</v>
      </c>
      <c r="E679" s="46"/>
      <c r="F679" s="46"/>
      <c r="G679" s="46"/>
      <c r="H679" s="47" t="s">
        <v>71</v>
      </c>
      <c r="I679" s="232" t="s">
        <v>65</v>
      </c>
    </row>
    <row r="680" spans="2:9" ht="15.95" customHeight="1">
      <c r="B680" s="53" t="s">
        <v>99</v>
      </c>
      <c r="C680" s="71" t="s">
        <v>67</v>
      </c>
      <c r="D680" s="47">
        <v>3</v>
      </c>
      <c r="E680" s="287"/>
      <c r="F680" s="42"/>
      <c r="G680" s="42"/>
      <c r="H680" s="56">
        <f>INSUMOS!E17</f>
        <v>9.94</v>
      </c>
      <c r="I680" s="232">
        <f>H680*D680</f>
        <v>29.82</v>
      </c>
    </row>
    <row r="681" spans="2:9" ht="15.95" customHeight="1">
      <c r="B681" s="91" t="s">
        <v>75</v>
      </c>
      <c r="C681" s="71" t="s">
        <v>67</v>
      </c>
      <c r="D681" s="47">
        <v>0.73</v>
      </c>
      <c r="E681" s="288"/>
      <c r="F681" s="202"/>
      <c r="G681" s="42"/>
      <c r="H681" s="56">
        <f>INSUMOS!E14</f>
        <v>3.42</v>
      </c>
      <c r="I681" s="232">
        <f>H681*D681</f>
        <v>2.5</v>
      </c>
    </row>
    <row r="682" spans="2:9" ht="15.95" customHeight="1">
      <c r="B682" s="91" t="s">
        <v>105</v>
      </c>
      <c r="C682" s="71" t="s">
        <v>67</v>
      </c>
      <c r="D682" s="47">
        <v>4</v>
      </c>
      <c r="E682" s="289"/>
      <c r="F682" s="202"/>
      <c r="G682" s="42"/>
      <c r="H682" s="56">
        <f>INSUMOS!E22</f>
        <v>8.76</v>
      </c>
      <c r="I682" s="232">
        <f>H682*D682</f>
        <v>35.04</v>
      </c>
    </row>
    <row r="683" spans="2:9" ht="15.95" customHeight="1">
      <c r="B683" s="635" t="s">
        <v>576</v>
      </c>
      <c r="C683" s="635"/>
      <c r="D683" s="635"/>
      <c r="E683" s="635"/>
      <c r="F683" s="635"/>
      <c r="G683" s="635"/>
      <c r="H683" s="635"/>
      <c r="I683" s="232">
        <f>SUM(I680:I682)*0.9103</f>
        <v>61.32</v>
      </c>
    </row>
    <row r="684" spans="2:9" ht="15.95" customHeight="1">
      <c r="B684" s="631" t="s">
        <v>69</v>
      </c>
      <c r="C684" s="628"/>
      <c r="D684" s="628"/>
      <c r="E684" s="628"/>
      <c r="F684" s="628"/>
      <c r="G684" s="628"/>
      <c r="H684" s="628"/>
      <c r="I684" s="228">
        <f>SUM(I680:I683)</f>
        <v>128.68</v>
      </c>
    </row>
    <row r="685" spans="2:9" ht="15.95" customHeight="1">
      <c r="B685" s="234" t="s">
        <v>76</v>
      </c>
      <c r="C685" s="148">
        <v>1</v>
      </c>
      <c r="D685" s="636" t="s">
        <v>77</v>
      </c>
      <c r="E685" s="637"/>
      <c r="F685" s="637"/>
      <c r="G685" s="637"/>
      <c r="H685" s="638"/>
      <c r="I685" s="228">
        <f>I669+I673+I677+I684</f>
        <v>143.66999999999999</v>
      </c>
    </row>
    <row r="686" spans="2:9" ht="15.95" customHeight="1">
      <c r="B686" s="668"/>
      <c r="C686" s="633"/>
      <c r="D686" s="633"/>
      <c r="E686" s="633"/>
      <c r="F686" s="633"/>
      <c r="G686" s="633"/>
      <c r="H686" s="634"/>
      <c r="I686" s="228">
        <f>I685/C685</f>
        <v>143.66999999999999</v>
      </c>
    </row>
    <row r="687" spans="2:9" ht="15.95" customHeight="1">
      <c r="B687" s="235" t="s">
        <v>334</v>
      </c>
      <c r="C687" s="145">
        <f>BDI!C37</f>
        <v>24.5</v>
      </c>
      <c r="D687" s="146" t="s">
        <v>269</v>
      </c>
      <c r="E687" s="136"/>
      <c r="F687" s="136"/>
      <c r="G687" s="136"/>
      <c r="H687" s="137"/>
      <c r="I687" s="232">
        <f>C687/100*I686</f>
        <v>35.200000000000003</v>
      </c>
    </row>
    <row r="688" spans="2:9" s="127" customFormat="1" ht="30" customHeight="1" thickBot="1">
      <c r="B688" s="671" t="s">
        <v>78</v>
      </c>
      <c r="C688" s="672"/>
      <c r="D688" s="672"/>
      <c r="E688" s="672"/>
      <c r="F688" s="672"/>
      <c r="G688" s="672"/>
      <c r="H688" s="672"/>
      <c r="I688" s="135">
        <f>SUM(I686:I687)</f>
        <v>178.87</v>
      </c>
    </row>
    <row r="693" spans="1:9" ht="13.5" thickBot="1"/>
    <row r="694" spans="1:9" s="127" customFormat="1" ht="30" customHeight="1">
      <c r="B694" s="277" t="s">
        <v>55</v>
      </c>
      <c r="C694" s="474" t="str">
        <f>'Planilha Orçamentária'!B47</f>
        <v>3.5</v>
      </c>
      <c r="D694" s="669" t="s">
        <v>56</v>
      </c>
      <c r="E694" s="669"/>
      <c r="F694" s="669"/>
      <c r="G694" s="669"/>
      <c r="H694" s="669"/>
      <c r="I694" s="670"/>
    </row>
    <row r="695" spans="1:9" s="127" customFormat="1" ht="30" customHeight="1">
      <c r="B695" s="666" t="s">
        <v>383</v>
      </c>
      <c r="C695" s="656"/>
      <c r="D695" s="656"/>
      <c r="E695" s="656"/>
      <c r="F695" s="656"/>
      <c r="G695" s="657"/>
      <c r="H695" s="643" t="s">
        <v>700</v>
      </c>
      <c r="I695" s="667"/>
    </row>
    <row r="696" spans="1:9" s="127" customFormat="1" ht="30" customHeight="1">
      <c r="B696" s="673" t="s">
        <v>394</v>
      </c>
      <c r="C696" s="648"/>
      <c r="D696" s="648"/>
      <c r="E696" s="648"/>
      <c r="F696" s="648"/>
      <c r="G696" s="648"/>
      <c r="H696" s="34" t="s">
        <v>57</v>
      </c>
      <c r="I696" s="211" t="s">
        <v>27</v>
      </c>
    </row>
    <row r="697" spans="1:9" s="127" customFormat="1" ht="30" customHeight="1">
      <c r="B697" s="629" t="s">
        <v>58</v>
      </c>
      <c r="C697" s="626"/>
      <c r="D697" s="626"/>
      <c r="E697" s="626"/>
      <c r="F697" s="626"/>
      <c r="G697" s="626"/>
      <c r="H697" s="626"/>
      <c r="I697" s="630"/>
    </row>
    <row r="698" spans="1:9" ht="25.5">
      <c r="A698" s="93"/>
      <c r="B698" s="212" t="s">
        <v>59</v>
      </c>
      <c r="C698" s="172" t="s">
        <v>5</v>
      </c>
      <c r="D698" s="36" t="s">
        <v>6</v>
      </c>
      <c r="E698" s="36" t="s">
        <v>61</v>
      </c>
      <c r="F698" s="36" t="s">
        <v>62</v>
      </c>
      <c r="G698" s="36" t="s">
        <v>63</v>
      </c>
      <c r="H698" s="36" t="s">
        <v>64</v>
      </c>
      <c r="I698" s="213" t="s">
        <v>65</v>
      </c>
    </row>
    <row r="699" spans="1:9" s="127" customFormat="1" ht="15" customHeight="1">
      <c r="B699" s="84" t="s">
        <v>96</v>
      </c>
      <c r="C699" s="85" t="s">
        <v>67</v>
      </c>
      <c r="D699" s="86">
        <v>1</v>
      </c>
      <c r="E699" s="49"/>
      <c r="F699" s="49"/>
      <c r="G699" s="56">
        <f>INSUMOS!E99</f>
        <v>3.17</v>
      </c>
      <c r="H699" s="49"/>
      <c r="I699" s="278">
        <f>D699*G699</f>
        <v>3.17</v>
      </c>
    </row>
    <row r="700" spans="1:9" s="127" customFormat="1" ht="15" customHeight="1">
      <c r="B700" s="97" t="s">
        <v>102</v>
      </c>
      <c r="C700" s="88" t="s">
        <v>67</v>
      </c>
      <c r="D700" s="89">
        <v>0.65</v>
      </c>
      <c r="E700" s="47"/>
      <c r="F700" s="274"/>
      <c r="G700" s="237">
        <f>INSUMOS!E101</f>
        <v>13.73</v>
      </c>
      <c r="H700" s="274"/>
      <c r="I700" s="278">
        <f>D700*G700</f>
        <v>8.92</v>
      </c>
    </row>
    <row r="701" spans="1:9" ht="15.95" customHeight="1">
      <c r="B701" s="631" t="s">
        <v>69</v>
      </c>
      <c r="C701" s="628"/>
      <c r="D701" s="628"/>
      <c r="E701" s="628"/>
      <c r="F701" s="628"/>
      <c r="G701" s="628"/>
      <c r="H701" s="628"/>
      <c r="I701" s="228">
        <f>SUM(I699:I700)</f>
        <v>12.09</v>
      </c>
    </row>
    <row r="702" spans="1:9" s="127" customFormat="1" ht="30" customHeight="1">
      <c r="B702" s="629" t="s">
        <v>70</v>
      </c>
      <c r="C702" s="626"/>
      <c r="D702" s="626"/>
      <c r="E702" s="626"/>
      <c r="F702" s="626"/>
      <c r="G702" s="626"/>
      <c r="H702" s="626"/>
      <c r="I702" s="630"/>
    </row>
    <row r="703" spans="1:9">
      <c r="B703" s="291" t="s">
        <v>59</v>
      </c>
      <c r="C703" s="180" t="s">
        <v>5</v>
      </c>
      <c r="D703" s="47" t="s">
        <v>6</v>
      </c>
      <c r="E703" s="46"/>
      <c r="F703" s="46"/>
      <c r="G703" s="46"/>
      <c r="H703" s="47" t="s">
        <v>71</v>
      </c>
      <c r="I703" s="232" t="s">
        <v>65</v>
      </c>
    </row>
    <row r="704" spans="1:9">
      <c r="B704" s="279"/>
      <c r="C704" s="88"/>
      <c r="D704" s="89"/>
      <c r="E704" s="46"/>
      <c r="F704" s="46"/>
      <c r="G704" s="46"/>
      <c r="H704" s="47"/>
      <c r="I704" s="232">
        <f>H704*D704</f>
        <v>0</v>
      </c>
    </row>
    <row r="705" spans="2:9">
      <c r="B705" s="631" t="s">
        <v>69</v>
      </c>
      <c r="C705" s="628"/>
      <c r="D705" s="628"/>
      <c r="E705" s="628"/>
      <c r="F705" s="628"/>
      <c r="G705" s="628"/>
      <c r="H705" s="628"/>
      <c r="I705" s="232">
        <f>SUM(I704:I704)</f>
        <v>0</v>
      </c>
    </row>
    <row r="706" spans="2:9" s="127" customFormat="1" ht="30" customHeight="1">
      <c r="B706" s="629" t="s">
        <v>72</v>
      </c>
      <c r="C706" s="626"/>
      <c r="D706" s="626"/>
      <c r="E706" s="626"/>
      <c r="F706" s="626"/>
      <c r="G706" s="626"/>
      <c r="H706" s="626"/>
      <c r="I706" s="630"/>
    </row>
    <row r="707" spans="2:9">
      <c r="B707" s="280" t="s">
        <v>59</v>
      </c>
      <c r="C707" s="71" t="s">
        <v>5</v>
      </c>
      <c r="D707" s="47" t="s">
        <v>6</v>
      </c>
      <c r="E707" s="46"/>
      <c r="F707" s="46"/>
      <c r="G707" s="46"/>
      <c r="H707" s="47" t="s">
        <v>71</v>
      </c>
      <c r="I707" s="232" t="s">
        <v>65</v>
      </c>
    </row>
    <row r="708" spans="2:9">
      <c r="B708" s="281"/>
      <c r="C708" s="47"/>
      <c r="D708" s="47"/>
      <c r="E708" s="46"/>
      <c r="F708" s="46"/>
      <c r="G708" s="46"/>
      <c r="H708" s="47"/>
      <c r="I708" s="232">
        <f>D708*H708</f>
        <v>0</v>
      </c>
    </row>
    <row r="709" spans="2:9">
      <c r="B709" s="631" t="s">
        <v>69</v>
      </c>
      <c r="C709" s="628"/>
      <c r="D709" s="628"/>
      <c r="E709" s="628"/>
      <c r="F709" s="628"/>
      <c r="G709" s="628"/>
      <c r="H709" s="628"/>
      <c r="I709" s="232">
        <f>SUM(I708:I708)</f>
        <v>0</v>
      </c>
    </row>
    <row r="710" spans="2:9" s="127" customFormat="1" ht="30" customHeight="1">
      <c r="B710" s="629" t="s">
        <v>74</v>
      </c>
      <c r="C710" s="626"/>
      <c r="D710" s="626"/>
      <c r="E710" s="626"/>
      <c r="F710" s="626"/>
      <c r="G710" s="626"/>
      <c r="H710" s="626"/>
      <c r="I710" s="630"/>
    </row>
    <row r="711" spans="2:9" ht="15.95" customHeight="1">
      <c r="B711" s="291" t="s">
        <v>59</v>
      </c>
      <c r="C711" s="180" t="s">
        <v>5</v>
      </c>
      <c r="D711" s="144" t="s">
        <v>6</v>
      </c>
      <c r="E711" s="46"/>
      <c r="F711" s="46"/>
      <c r="G711" s="46"/>
      <c r="H711" s="47" t="s">
        <v>71</v>
      </c>
      <c r="I711" s="232" t="s">
        <v>65</v>
      </c>
    </row>
    <row r="712" spans="2:9" ht="15.95" customHeight="1">
      <c r="B712" s="53" t="s">
        <v>99</v>
      </c>
      <c r="C712" s="71" t="s">
        <v>67</v>
      </c>
      <c r="D712" s="47">
        <v>2</v>
      </c>
      <c r="E712" s="287"/>
      <c r="F712" s="46"/>
      <c r="G712" s="46"/>
      <c r="H712" s="56">
        <f>INSUMOS!E17</f>
        <v>9.94</v>
      </c>
      <c r="I712" s="232">
        <f>H712*D712</f>
        <v>19.88</v>
      </c>
    </row>
    <row r="713" spans="2:9" ht="15.95" customHeight="1">
      <c r="B713" s="91" t="s">
        <v>75</v>
      </c>
      <c r="C713" s="71" t="s">
        <v>67</v>
      </c>
      <c r="D713" s="47">
        <v>0.53</v>
      </c>
      <c r="E713" s="288"/>
      <c r="F713" s="236"/>
      <c r="G713" s="46"/>
      <c r="H713" s="56">
        <f>INSUMOS!E14</f>
        <v>3.42</v>
      </c>
      <c r="I713" s="232">
        <f>H713*D713</f>
        <v>1.81</v>
      </c>
    </row>
    <row r="714" spans="2:9" ht="15.95" customHeight="1">
      <c r="B714" s="91" t="s">
        <v>105</v>
      </c>
      <c r="C714" s="71" t="s">
        <v>67</v>
      </c>
      <c r="D714" s="47">
        <v>3.5</v>
      </c>
      <c r="E714" s="289"/>
      <c r="F714" s="236"/>
      <c r="G714" s="46"/>
      <c r="H714" s="56">
        <f>INSUMOS!E22</f>
        <v>8.76</v>
      </c>
      <c r="I714" s="232">
        <f>H714*D714</f>
        <v>30.66</v>
      </c>
    </row>
    <row r="715" spans="2:9" ht="15.95" customHeight="1">
      <c r="B715" s="635" t="s">
        <v>576</v>
      </c>
      <c r="C715" s="635"/>
      <c r="D715" s="635"/>
      <c r="E715" s="635"/>
      <c r="F715" s="635"/>
      <c r="G715" s="635"/>
      <c r="H715" s="635"/>
      <c r="I715" s="232">
        <f>SUM(I712:I714)*0.9103</f>
        <v>47.65</v>
      </c>
    </row>
    <row r="716" spans="2:9" ht="15.95" customHeight="1">
      <c r="B716" s="631" t="s">
        <v>69</v>
      </c>
      <c r="C716" s="628"/>
      <c r="D716" s="628"/>
      <c r="E716" s="628"/>
      <c r="F716" s="628"/>
      <c r="G716" s="628"/>
      <c r="H716" s="628"/>
      <c r="I716" s="228">
        <f>SUM(I712:I715)</f>
        <v>100</v>
      </c>
    </row>
    <row r="717" spans="2:9" ht="15.95" customHeight="1">
      <c r="B717" s="234" t="s">
        <v>76</v>
      </c>
      <c r="C717" s="148">
        <v>1</v>
      </c>
      <c r="D717" s="636" t="s">
        <v>77</v>
      </c>
      <c r="E717" s="637"/>
      <c r="F717" s="637"/>
      <c r="G717" s="637"/>
      <c r="H717" s="638"/>
      <c r="I717" s="228">
        <f>I701+I705+I709+I716</f>
        <v>112.09</v>
      </c>
    </row>
    <row r="718" spans="2:9" ht="15.95" customHeight="1">
      <c r="B718" s="668"/>
      <c r="C718" s="633"/>
      <c r="D718" s="633"/>
      <c r="E718" s="633"/>
      <c r="F718" s="633"/>
      <c r="G718" s="633"/>
      <c r="H718" s="634"/>
      <c r="I718" s="228">
        <f>I717/C717</f>
        <v>112.09</v>
      </c>
    </row>
    <row r="719" spans="2:9" ht="15.95" customHeight="1">
      <c r="B719" s="235" t="s">
        <v>334</v>
      </c>
      <c r="C719" s="145">
        <f>BDI!C37</f>
        <v>24.5</v>
      </c>
      <c r="D719" s="146" t="s">
        <v>269</v>
      </c>
      <c r="E719" s="136"/>
      <c r="F719" s="136"/>
      <c r="G719" s="136"/>
      <c r="H719" s="137"/>
      <c r="I719" s="232">
        <f>C719/100*I718</f>
        <v>27.46</v>
      </c>
    </row>
    <row r="720" spans="2:9" s="127" customFormat="1" ht="30" customHeight="1" thickBot="1">
      <c r="B720" s="671" t="s">
        <v>78</v>
      </c>
      <c r="C720" s="672"/>
      <c r="D720" s="672"/>
      <c r="E720" s="672"/>
      <c r="F720" s="672"/>
      <c r="G720" s="672"/>
      <c r="H720" s="672"/>
      <c r="I720" s="135">
        <f>SUM(I718:I719)</f>
        <v>139.55000000000001</v>
      </c>
    </row>
    <row r="726" spans="1:11" ht="13.5" thickBot="1"/>
    <row r="727" spans="1:11" s="127" customFormat="1" ht="30" customHeight="1">
      <c r="B727" s="200" t="s">
        <v>55</v>
      </c>
      <c r="C727" s="474" t="str">
        <f>'Planilha Orçamentária'!B49</f>
        <v>3.7</v>
      </c>
      <c r="D727" s="639" t="s">
        <v>56</v>
      </c>
      <c r="E727" s="639"/>
      <c r="F727" s="639"/>
      <c r="G727" s="639"/>
      <c r="H727" s="639"/>
      <c r="I727" s="639"/>
    </row>
    <row r="728" spans="1:11" s="127" customFormat="1" ht="30" customHeight="1">
      <c r="B728" s="640" t="s">
        <v>332</v>
      </c>
      <c r="C728" s="641"/>
      <c r="D728" s="641"/>
      <c r="E728" s="641"/>
      <c r="F728" s="641"/>
      <c r="G728" s="642"/>
      <c r="H728" s="643" t="s">
        <v>700</v>
      </c>
      <c r="I728" s="644"/>
    </row>
    <row r="729" spans="1:11" s="127" customFormat="1" ht="30" customHeight="1">
      <c r="B729" s="625" t="s">
        <v>406</v>
      </c>
      <c r="C729" s="625"/>
      <c r="D729" s="625"/>
      <c r="E729" s="625"/>
      <c r="F729" s="625"/>
      <c r="G729" s="625"/>
      <c r="H729" s="34" t="s">
        <v>57</v>
      </c>
      <c r="I729" s="126" t="s">
        <v>379</v>
      </c>
    </row>
    <row r="730" spans="1:11" s="127" customFormat="1" ht="30" customHeight="1">
      <c r="B730" s="626" t="s">
        <v>58</v>
      </c>
      <c r="C730" s="626"/>
      <c r="D730" s="626"/>
      <c r="E730" s="626"/>
      <c r="F730" s="626"/>
      <c r="G730" s="626"/>
      <c r="H730" s="626"/>
      <c r="I730" s="626"/>
    </row>
    <row r="731" spans="1:11" ht="25.5">
      <c r="A731" s="93"/>
      <c r="B731" s="35" t="s">
        <v>59</v>
      </c>
      <c r="C731" s="172" t="s">
        <v>5</v>
      </c>
      <c r="D731" s="36" t="s">
        <v>6</v>
      </c>
      <c r="E731" s="36" t="s">
        <v>61</v>
      </c>
      <c r="F731" s="36" t="s">
        <v>62</v>
      </c>
      <c r="G731" s="36" t="s">
        <v>63</v>
      </c>
      <c r="H731" s="36" t="s">
        <v>64</v>
      </c>
      <c r="I731" s="37" t="s">
        <v>65</v>
      </c>
    </row>
    <row r="732" spans="1:11" ht="15.95" customHeight="1">
      <c r="B732" s="97"/>
      <c r="C732" s="39"/>
      <c r="D732" s="140"/>
      <c r="E732" s="40"/>
      <c r="F732" s="40"/>
      <c r="G732" s="40"/>
      <c r="H732" s="40"/>
      <c r="I732" s="87">
        <f>D732*E732*G732+D732*F732*H732</f>
        <v>0</v>
      </c>
    </row>
    <row r="733" spans="1:11" ht="15.95" customHeight="1">
      <c r="B733" s="628" t="s">
        <v>69</v>
      </c>
      <c r="C733" s="628"/>
      <c r="D733" s="628"/>
      <c r="E733" s="628"/>
      <c r="F733" s="628"/>
      <c r="G733" s="628"/>
      <c r="H733" s="628"/>
      <c r="I733" s="95">
        <f>SUM(I732:I732)</f>
        <v>0</v>
      </c>
    </row>
    <row r="734" spans="1:11" s="127" customFormat="1" ht="30" customHeight="1">
      <c r="B734" s="626" t="s">
        <v>70</v>
      </c>
      <c r="C734" s="626"/>
      <c r="D734" s="626"/>
      <c r="E734" s="626"/>
      <c r="F734" s="626"/>
      <c r="G734" s="626"/>
      <c r="H734" s="626"/>
      <c r="I734" s="626"/>
    </row>
    <row r="735" spans="1:11" ht="15.95" customHeight="1">
      <c r="B735" s="179" t="s">
        <v>59</v>
      </c>
      <c r="C735" s="180" t="s">
        <v>5</v>
      </c>
      <c r="D735" s="47" t="s">
        <v>6</v>
      </c>
      <c r="E735" s="46"/>
      <c r="F735" s="46"/>
      <c r="G735" s="46"/>
      <c r="H735" s="47" t="s">
        <v>71</v>
      </c>
      <c r="I735" s="90" t="s">
        <v>65</v>
      </c>
    </row>
    <row r="736" spans="1:11" ht="15.95" customHeight="1">
      <c r="B736" s="84" t="s">
        <v>407</v>
      </c>
      <c r="C736" s="85" t="s">
        <v>379</v>
      </c>
      <c r="D736" s="86">
        <v>1</v>
      </c>
      <c r="E736" s="50"/>
      <c r="F736" s="50"/>
      <c r="G736" s="50"/>
      <c r="H736" s="56">
        <f>INSUMOS!E92</f>
        <v>46</v>
      </c>
      <c r="I736" s="90">
        <f>H736*D736</f>
        <v>46</v>
      </c>
      <c r="K736" s="51" t="s">
        <v>108</v>
      </c>
    </row>
    <row r="737" spans="2:9" ht="15.95" customHeight="1">
      <c r="B737" s="97" t="s">
        <v>107</v>
      </c>
      <c r="C737" s="88" t="s">
        <v>94</v>
      </c>
      <c r="D737" s="89">
        <v>0.01</v>
      </c>
      <c r="E737" s="46"/>
      <c r="F737" s="46"/>
      <c r="G737" s="46"/>
      <c r="H737" s="56">
        <f>INSUMOS!E33</f>
        <v>14</v>
      </c>
      <c r="I737" s="90">
        <f>H737*D737</f>
        <v>0.14000000000000001</v>
      </c>
    </row>
    <row r="738" spans="2:9" ht="15.95" customHeight="1">
      <c r="B738" s="99" t="s">
        <v>399</v>
      </c>
      <c r="C738" s="85" t="s">
        <v>379</v>
      </c>
      <c r="D738" s="86">
        <v>1</v>
      </c>
      <c r="E738" s="50"/>
      <c r="F738" s="50"/>
      <c r="G738" s="50"/>
      <c r="H738" s="56">
        <f>INSUMOS!E93</f>
        <v>8.86</v>
      </c>
      <c r="I738" s="90">
        <f>H738*D738</f>
        <v>8.86</v>
      </c>
    </row>
    <row r="739" spans="2:9" ht="15.95" customHeight="1">
      <c r="B739" s="628" t="s">
        <v>69</v>
      </c>
      <c r="C739" s="628"/>
      <c r="D739" s="628"/>
      <c r="E739" s="628"/>
      <c r="F739" s="628"/>
      <c r="G739" s="628"/>
      <c r="H739" s="628"/>
      <c r="I739" s="90">
        <f>SUM(I736:I738)</f>
        <v>55</v>
      </c>
    </row>
    <row r="740" spans="2:9" s="127" customFormat="1" ht="30" customHeight="1">
      <c r="B740" s="626" t="s">
        <v>72</v>
      </c>
      <c r="C740" s="626"/>
      <c r="D740" s="626"/>
      <c r="E740" s="626"/>
      <c r="F740" s="626"/>
      <c r="G740" s="626"/>
      <c r="H740" s="626"/>
      <c r="I740" s="626"/>
    </row>
    <row r="741" spans="2:9" ht="15.95" customHeight="1">
      <c r="B741" s="45" t="s">
        <v>59</v>
      </c>
      <c r="C741" s="71" t="s">
        <v>5</v>
      </c>
      <c r="D741" s="47" t="s">
        <v>6</v>
      </c>
      <c r="E741" s="46"/>
      <c r="F741" s="46"/>
      <c r="G741" s="46"/>
      <c r="H741" s="47" t="s">
        <v>71</v>
      </c>
      <c r="I741" s="90" t="s">
        <v>65</v>
      </c>
    </row>
    <row r="742" spans="2:9" ht="15.95" customHeight="1">
      <c r="B742" s="48"/>
      <c r="C742" s="47"/>
      <c r="D742" s="47"/>
      <c r="E742" s="46"/>
      <c r="F742" s="46"/>
      <c r="G742" s="46"/>
      <c r="H742" s="47"/>
      <c r="I742" s="90">
        <f>D742*H742</f>
        <v>0</v>
      </c>
    </row>
    <row r="743" spans="2:9" ht="15.95" customHeight="1">
      <c r="B743" s="628" t="s">
        <v>69</v>
      </c>
      <c r="C743" s="628"/>
      <c r="D743" s="628"/>
      <c r="E743" s="628"/>
      <c r="F743" s="628"/>
      <c r="G743" s="628"/>
      <c r="H743" s="628"/>
      <c r="I743" s="90">
        <f>SUM(I742:I742)</f>
        <v>0</v>
      </c>
    </row>
    <row r="744" spans="2:9" s="127" customFormat="1" ht="30" customHeight="1">
      <c r="B744" s="626" t="s">
        <v>74</v>
      </c>
      <c r="C744" s="626"/>
      <c r="D744" s="626"/>
      <c r="E744" s="626"/>
      <c r="F744" s="626"/>
      <c r="G744" s="626"/>
      <c r="H744" s="626"/>
      <c r="I744" s="626"/>
    </row>
    <row r="745" spans="2:9" ht="15.95" customHeight="1">
      <c r="B745" s="179" t="s">
        <v>59</v>
      </c>
      <c r="C745" s="180" t="s">
        <v>5</v>
      </c>
      <c r="D745" s="144" t="s">
        <v>6</v>
      </c>
      <c r="E745" s="46"/>
      <c r="F745" s="46"/>
      <c r="G745" s="46"/>
      <c r="H745" s="47" t="s">
        <v>71</v>
      </c>
      <c r="I745" s="90" t="s">
        <v>65</v>
      </c>
    </row>
    <row r="746" spans="2:9" ht="15.95" customHeight="1">
      <c r="B746" s="53" t="s">
        <v>99</v>
      </c>
      <c r="C746" s="71" t="s">
        <v>67</v>
      </c>
      <c r="D746" s="47">
        <v>0.2</v>
      </c>
      <c r="E746" s="46"/>
      <c r="F746" s="46"/>
      <c r="G746" s="46"/>
      <c r="H746" s="56">
        <f>INSUMOS!E17</f>
        <v>9.94</v>
      </c>
      <c r="I746" s="90">
        <f>H746*D746</f>
        <v>1.99</v>
      </c>
    </row>
    <row r="747" spans="2:9" ht="15.95" customHeight="1">
      <c r="B747" s="91" t="s">
        <v>75</v>
      </c>
      <c r="C747" s="71" t="s">
        <v>67</v>
      </c>
      <c r="D747" s="47">
        <v>0.2</v>
      </c>
      <c r="E747" s="46"/>
      <c r="F747" s="46"/>
      <c r="G747" s="46"/>
      <c r="H747" s="56">
        <f>INSUMOS!E14</f>
        <v>3.42</v>
      </c>
      <c r="I747" s="90">
        <f>H747*D747</f>
        <v>0.68</v>
      </c>
    </row>
    <row r="748" spans="2:9" ht="15.95" customHeight="1">
      <c r="B748" s="635" t="s">
        <v>576</v>
      </c>
      <c r="C748" s="635"/>
      <c r="D748" s="635"/>
      <c r="E748" s="635"/>
      <c r="F748" s="635"/>
      <c r="G748" s="635"/>
      <c r="H748" s="635"/>
      <c r="I748" s="90">
        <f>SUM(I746:I747)*0.9103</f>
        <v>2.4300000000000002</v>
      </c>
    </row>
    <row r="749" spans="2:9" ht="15.95" customHeight="1">
      <c r="B749" s="628" t="s">
        <v>69</v>
      </c>
      <c r="C749" s="628"/>
      <c r="D749" s="628"/>
      <c r="E749" s="628"/>
      <c r="F749" s="628"/>
      <c r="G749" s="628"/>
      <c r="H749" s="628"/>
      <c r="I749" s="95">
        <f>SUM(I746:I748)</f>
        <v>5.0999999999999996</v>
      </c>
    </row>
    <row r="750" spans="2:9" ht="15.95" customHeight="1">
      <c r="B750" s="147" t="s">
        <v>76</v>
      </c>
      <c r="C750" s="148">
        <v>1</v>
      </c>
      <c r="D750" s="636" t="s">
        <v>77</v>
      </c>
      <c r="E750" s="637"/>
      <c r="F750" s="637"/>
      <c r="G750" s="637"/>
      <c r="H750" s="638"/>
      <c r="I750" s="95">
        <f>I733+I739+I743+I749</f>
        <v>60.1</v>
      </c>
    </row>
    <row r="751" spans="2:9" ht="15.95" customHeight="1">
      <c r="B751" s="632"/>
      <c r="C751" s="633"/>
      <c r="D751" s="633"/>
      <c r="E751" s="633"/>
      <c r="F751" s="633"/>
      <c r="G751" s="633"/>
      <c r="H751" s="634"/>
      <c r="I751" s="95">
        <f>I750/C750</f>
        <v>60.1</v>
      </c>
    </row>
    <row r="752" spans="2:9" ht="15.95" customHeight="1">
      <c r="B752" s="139" t="s">
        <v>334</v>
      </c>
      <c r="C752" s="145">
        <f>BDI!C37</f>
        <v>24.5</v>
      </c>
      <c r="D752" s="146" t="s">
        <v>269</v>
      </c>
      <c r="E752" s="136"/>
      <c r="F752" s="136"/>
      <c r="G752" s="136"/>
      <c r="H752" s="137"/>
      <c r="I752" s="90">
        <f>C752/100*I751</f>
        <v>14.72</v>
      </c>
    </row>
    <row r="753" spans="1:9" s="127" customFormat="1" ht="30" customHeight="1" thickBot="1">
      <c r="B753" s="627" t="s">
        <v>78</v>
      </c>
      <c r="C753" s="627"/>
      <c r="D753" s="627"/>
      <c r="E753" s="627"/>
      <c r="F753" s="627"/>
      <c r="G753" s="627"/>
      <c r="H753" s="627"/>
      <c r="I753" s="135">
        <f>SUM(I751:I752)</f>
        <v>74.819999999999993</v>
      </c>
    </row>
    <row r="758" spans="1:9" ht="13.5" thickBot="1"/>
    <row r="759" spans="1:9" s="127" customFormat="1" ht="30" customHeight="1">
      <c r="B759" s="200" t="s">
        <v>55</v>
      </c>
      <c r="C759" s="474" t="str">
        <f>'Planilha Orçamentária'!B51</f>
        <v>3.9</v>
      </c>
      <c r="D759" s="639" t="s">
        <v>56</v>
      </c>
      <c r="E759" s="639"/>
      <c r="F759" s="639"/>
      <c r="G759" s="639"/>
      <c r="H759" s="639"/>
      <c r="I759" s="639"/>
    </row>
    <row r="760" spans="1:9" s="127" customFormat="1" ht="30" customHeight="1">
      <c r="B760" s="640" t="s">
        <v>332</v>
      </c>
      <c r="C760" s="641"/>
      <c r="D760" s="641"/>
      <c r="E760" s="641"/>
      <c r="F760" s="641"/>
      <c r="G760" s="642"/>
      <c r="H760" s="643" t="s">
        <v>700</v>
      </c>
      <c r="I760" s="644"/>
    </row>
    <row r="761" spans="1:9" s="127" customFormat="1" ht="30" customHeight="1">
      <c r="B761" s="645" t="s">
        <v>414</v>
      </c>
      <c r="C761" s="646"/>
      <c r="D761" s="646"/>
      <c r="E761" s="646"/>
      <c r="F761" s="646"/>
      <c r="G761" s="647"/>
      <c r="H761" s="34" t="s">
        <v>57</v>
      </c>
      <c r="I761" s="126" t="s">
        <v>27</v>
      </c>
    </row>
    <row r="762" spans="1:9" s="127" customFormat="1" ht="30" customHeight="1">
      <c r="B762" s="626" t="s">
        <v>58</v>
      </c>
      <c r="C762" s="626"/>
      <c r="D762" s="626"/>
      <c r="E762" s="626"/>
      <c r="F762" s="626"/>
      <c r="G762" s="626"/>
      <c r="H762" s="626"/>
      <c r="I762" s="626"/>
    </row>
    <row r="763" spans="1:9" ht="25.5">
      <c r="A763" s="93"/>
      <c r="B763" s="35" t="s">
        <v>59</v>
      </c>
      <c r="C763" s="172" t="s">
        <v>5</v>
      </c>
      <c r="D763" s="36" t="s">
        <v>6</v>
      </c>
      <c r="E763" s="36" t="s">
        <v>61</v>
      </c>
      <c r="F763" s="36" t="s">
        <v>62</v>
      </c>
      <c r="G763" s="36" t="s">
        <v>63</v>
      </c>
      <c r="H763" s="36" t="s">
        <v>64</v>
      </c>
      <c r="I763" s="37" t="s">
        <v>65</v>
      </c>
    </row>
    <row r="764" spans="1:9" ht="15.95" customHeight="1">
      <c r="B764" s="97"/>
      <c r="C764" s="39"/>
      <c r="D764" s="140"/>
      <c r="E764" s="40"/>
      <c r="F764" s="40"/>
      <c r="G764" s="40"/>
      <c r="H764" s="40"/>
      <c r="I764" s="87">
        <f>D764*E764*G764+D764*F764*H764</f>
        <v>0</v>
      </c>
    </row>
    <row r="765" spans="1:9" ht="15.95" customHeight="1">
      <c r="B765" s="628" t="s">
        <v>69</v>
      </c>
      <c r="C765" s="628"/>
      <c r="D765" s="628"/>
      <c r="E765" s="628"/>
      <c r="F765" s="628"/>
      <c r="G765" s="628"/>
      <c r="H765" s="628"/>
      <c r="I765" s="95">
        <f>SUM(I764:I764)</f>
        <v>0</v>
      </c>
    </row>
    <row r="766" spans="1:9" s="127" customFormat="1" ht="30" customHeight="1">
      <c r="B766" s="626" t="s">
        <v>70</v>
      </c>
      <c r="C766" s="626"/>
      <c r="D766" s="626"/>
      <c r="E766" s="626"/>
      <c r="F766" s="626"/>
      <c r="G766" s="626"/>
      <c r="H766" s="626"/>
      <c r="I766" s="626"/>
    </row>
    <row r="767" spans="1:9">
      <c r="B767" s="179" t="s">
        <v>59</v>
      </c>
      <c r="C767" s="180" t="s">
        <v>5</v>
      </c>
      <c r="D767" s="47" t="s">
        <v>6</v>
      </c>
      <c r="E767" s="46"/>
      <c r="F767" s="46"/>
      <c r="G767" s="46"/>
      <c r="H767" s="47" t="s">
        <v>71</v>
      </c>
      <c r="I767" s="90" t="s">
        <v>65</v>
      </c>
    </row>
    <row r="768" spans="1:9" ht="15.75" customHeight="1">
      <c r="B768" s="307" t="s">
        <v>396</v>
      </c>
      <c r="C768" s="308" t="s">
        <v>27</v>
      </c>
      <c r="D768" s="309">
        <v>1</v>
      </c>
      <c r="E768" s="50"/>
      <c r="F768" s="50"/>
      <c r="G768" s="50"/>
      <c r="H768" s="56">
        <f>INSUMOS!E95</f>
        <v>299.08999999999997</v>
      </c>
      <c r="I768" s="87">
        <f>H768*D768</f>
        <v>299.08999999999997</v>
      </c>
    </row>
    <row r="769" spans="2:9" ht="15.75" customHeight="1">
      <c r="B769" s="310" t="s">
        <v>98</v>
      </c>
      <c r="C769" s="311" t="s">
        <v>94</v>
      </c>
      <c r="D769" s="169">
        <v>0.2</v>
      </c>
      <c r="E769" s="306"/>
      <c r="F769" s="50"/>
      <c r="G769" s="50"/>
      <c r="H769" s="56">
        <f>INSUMOS!E32</f>
        <v>2.38</v>
      </c>
      <c r="I769" s="87">
        <f>H769*D769</f>
        <v>0.48</v>
      </c>
    </row>
    <row r="770" spans="2:9" ht="15.75" customHeight="1">
      <c r="B770" s="310" t="s">
        <v>413</v>
      </c>
      <c r="C770" s="311" t="s">
        <v>94</v>
      </c>
      <c r="D770" s="169">
        <v>0.01</v>
      </c>
      <c r="E770" s="306"/>
      <c r="F770" s="50"/>
      <c r="G770" s="50"/>
      <c r="H770" s="56">
        <f>INSUMOS!E33</f>
        <v>14</v>
      </c>
      <c r="I770" s="87">
        <f>H770*D770</f>
        <v>0.14000000000000001</v>
      </c>
    </row>
    <row r="771" spans="2:9" ht="15.95" customHeight="1">
      <c r="B771" s="628" t="s">
        <v>69</v>
      </c>
      <c r="C771" s="628"/>
      <c r="D771" s="628"/>
      <c r="E771" s="628"/>
      <c r="F771" s="628"/>
      <c r="G771" s="628"/>
      <c r="H771" s="628"/>
      <c r="I771" s="90">
        <f>SUM(I768:I770)</f>
        <v>299.70999999999998</v>
      </c>
    </row>
    <row r="772" spans="2:9" s="127" customFormat="1" ht="30" customHeight="1">
      <c r="B772" s="626" t="s">
        <v>72</v>
      </c>
      <c r="C772" s="626"/>
      <c r="D772" s="626"/>
      <c r="E772" s="626"/>
      <c r="F772" s="626"/>
      <c r="G772" s="626"/>
      <c r="H772" s="626"/>
      <c r="I772" s="626"/>
    </row>
    <row r="773" spans="2:9" ht="15.95" customHeight="1">
      <c r="B773" s="45" t="s">
        <v>59</v>
      </c>
      <c r="C773" s="71" t="s">
        <v>5</v>
      </c>
      <c r="D773" s="47" t="s">
        <v>6</v>
      </c>
      <c r="E773" s="46"/>
      <c r="F773" s="46"/>
      <c r="G773" s="46"/>
      <c r="H773" s="47" t="s">
        <v>71</v>
      </c>
      <c r="I773" s="90" t="s">
        <v>65</v>
      </c>
    </row>
    <row r="774" spans="2:9" ht="15.95" customHeight="1">
      <c r="B774" s="48"/>
      <c r="C774" s="47"/>
      <c r="D774" s="47"/>
      <c r="E774" s="46"/>
      <c r="F774" s="46"/>
      <c r="G774" s="46"/>
      <c r="H774" s="47"/>
      <c r="I774" s="90">
        <f>D774*H774</f>
        <v>0</v>
      </c>
    </row>
    <row r="775" spans="2:9" ht="15.95" customHeight="1">
      <c r="B775" s="628" t="s">
        <v>69</v>
      </c>
      <c r="C775" s="628"/>
      <c r="D775" s="628"/>
      <c r="E775" s="628"/>
      <c r="F775" s="628"/>
      <c r="G775" s="628"/>
      <c r="H775" s="628"/>
      <c r="I775" s="90">
        <f>SUM(I774:I774)</f>
        <v>0</v>
      </c>
    </row>
    <row r="776" spans="2:9" s="127" customFormat="1" ht="30" customHeight="1">
      <c r="B776" s="626" t="s">
        <v>74</v>
      </c>
      <c r="C776" s="626"/>
      <c r="D776" s="626"/>
      <c r="E776" s="626"/>
      <c r="F776" s="626"/>
      <c r="G776" s="626"/>
      <c r="H776" s="626"/>
      <c r="I776" s="626"/>
    </row>
    <row r="777" spans="2:9" ht="15.95" customHeight="1">
      <c r="B777" s="179" t="s">
        <v>59</v>
      </c>
      <c r="C777" s="180" t="s">
        <v>5</v>
      </c>
      <c r="D777" s="144" t="s">
        <v>6</v>
      </c>
      <c r="E777" s="46"/>
      <c r="F777" s="46"/>
      <c r="G777" s="46"/>
      <c r="H777" s="47" t="s">
        <v>71</v>
      </c>
      <c r="I777" s="90" t="s">
        <v>65</v>
      </c>
    </row>
    <row r="778" spans="2:9" ht="15.95" customHeight="1">
      <c r="B778" s="53" t="s">
        <v>99</v>
      </c>
      <c r="C778" s="71" t="s">
        <v>67</v>
      </c>
      <c r="D778" s="47">
        <v>1.5</v>
      </c>
      <c r="E778" s="46"/>
      <c r="F778" s="46"/>
      <c r="G778" s="46"/>
      <c r="H778" s="56">
        <f>INSUMOS!E17</f>
        <v>9.94</v>
      </c>
      <c r="I778" s="90">
        <f>H778*D778</f>
        <v>14.91</v>
      </c>
    </row>
    <row r="779" spans="2:9" ht="15.95" customHeight="1">
      <c r="B779" s="91" t="s">
        <v>75</v>
      </c>
      <c r="C779" s="71" t="s">
        <v>67</v>
      </c>
      <c r="D779" s="47">
        <v>2.5</v>
      </c>
      <c r="E779" s="46"/>
      <c r="F779" s="46"/>
      <c r="G779" s="46"/>
      <c r="H779" s="56">
        <f>INSUMOS!E14</f>
        <v>3.42</v>
      </c>
      <c r="I779" s="90">
        <f>H779*D779</f>
        <v>8.5500000000000007</v>
      </c>
    </row>
    <row r="780" spans="2:9" ht="15.95" customHeight="1">
      <c r="B780" s="635" t="s">
        <v>576</v>
      </c>
      <c r="C780" s="635"/>
      <c r="D780" s="635"/>
      <c r="E780" s="635"/>
      <c r="F780" s="635"/>
      <c r="G780" s="635"/>
      <c r="H780" s="635"/>
      <c r="I780" s="90">
        <f>SUM(I778:I779)*0.9103</f>
        <v>21.36</v>
      </c>
    </row>
    <row r="781" spans="2:9" ht="15.95" customHeight="1">
      <c r="B781" s="628" t="s">
        <v>69</v>
      </c>
      <c r="C781" s="628"/>
      <c r="D781" s="628"/>
      <c r="E781" s="628"/>
      <c r="F781" s="628"/>
      <c r="G781" s="628"/>
      <c r="H781" s="628"/>
      <c r="I781" s="92">
        <f>SUM(I778:I780)</f>
        <v>44.82</v>
      </c>
    </row>
    <row r="782" spans="2:9" ht="15.95" customHeight="1">
      <c r="B782" s="147" t="s">
        <v>76</v>
      </c>
      <c r="C782" s="148">
        <v>1</v>
      </c>
      <c r="D782" s="636" t="s">
        <v>77</v>
      </c>
      <c r="E782" s="637"/>
      <c r="F782" s="637"/>
      <c r="G782" s="637"/>
      <c r="H782" s="638"/>
      <c r="I782" s="92">
        <f>I765+I771+I775+I781</f>
        <v>344.53</v>
      </c>
    </row>
    <row r="783" spans="2:9" ht="15.95" customHeight="1">
      <c r="B783" s="632"/>
      <c r="C783" s="633"/>
      <c r="D783" s="633"/>
      <c r="E783" s="633"/>
      <c r="F783" s="633"/>
      <c r="G783" s="633"/>
      <c r="H783" s="634"/>
      <c r="I783" s="92">
        <f>I782/C782</f>
        <v>344.53</v>
      </c>
    </row>
    <row r="784" spans="2:9" ht="15.95" customHeight="1">
      <c r="B784" s="139" t="s">
        <v>334</v>
      </c>
      <c r="C784" s="145">
        <f>BDI!C37</f>
        <v>24.5</v>
      </c>
      <c r="D784" s="146" t="s">
        <v>269</v>
      </c>
      <c r="E784" s="136"/>
      <c r="F784" s="136"/>
      <c r="G784" s="136"/>
      <c r="H784" s="137"/>
      <c r="I784" s="90">
        <f>C784/100*I783</f>
        <v>84.41</v>
      </c>
    </row>
    <row r="785" spans="1:9" s="127" customFormat="1" ht="30" customHeight="1" thickBot="1">
      <c r="B785" s="649" t="s">
        <v>78</v>
      </c>
      <c r="C785" s="650"/>
      <c r="D785" s="650"/>
      <c r="E785" s="650"/>
      <c r="F785" s="650"/>
      <c r="G785" s="650"/>
      <c r="H785" s="651"/>
      <c r="I785" s="135">
        <f>SUM(I783:I784)</f>
        <v>428.94</v>
      </c>
    </row>
    <row r="790" spans="1:9" ht="13.5" thickBot="1"/>
    <row r="791" spans="1:9" s="127" customFormat="1" ht="30" customHeight="1">
      <c r="B791" s="200" t="s">
        <v>55</v>
      </c>
      <c r="C791" s="474" t="str">
        <f>'Planilha Orçamentária'!B53</f>
        <v>3.11</v>
      </c>
      <c r="D791" s="639" t="s">
        <v>56</v>
      </c>
      <c r="E791" s="639"/>
      <c r="F791" s="639"/>
      <c r="G791" s="639"/>
      <c r="H791" s="639"/>
      <c r="I791" s="639"/>
    </row>
    <row r="792" spans="1:9" s="127" customFormat="1" ht="30" customHeight="1">
      <c r="B792" s="640" t="s">
        <v>332</v>
      </c>
      <c r="C792" s="641"/>
      <c r="D792" s="641"/>
      <c r="E792" s="641"/>
      <c r="F792" s="641"/>
      <c r="G792" s="642"/>
      <c r="H792" s="643" t="s">
        <v>700</v>
      </c>
      <c r="I792" s="644"/>
    </row>
    <row r="793" spans="1:9" s="127" customFormat="1" ht="30" customHeight="1">
      <c r="B793" s="625" t="s">
        <v>416</v>
      </c>
      <c r="C793" s="625"/>
      <c r="D793" s="625"/>
      <c r="E793" s="625"/>
      <c r="F793" s="625"/>
      <c r="G793" s="625"/>
      <c r="H793" s="34" t="s">
        <v>57</v>
      </c>
      <c r="I793" s="126" t="s">
        <v>27</v>
      </c>
    </row>
    <row r="794" spans="1:9" s="127" customFormat="1" ht="30" customHeight="1">
      <c r="B794" s="626" t="s">
        <v>58</v>
      </c>
      <c r="C794" s="626"/>
      <c r="D794" s="626"/>
      <c r="E794" s="626"/>
      <c r="F794" s="626"/>
      <c r="G794" s="626"/>
      <c r="H794" s="626"/>
      <c r="I794" s="626"/>
    </row>
    <row r="795" spans="1:9" ht="25.5">
      <c r="A795" s="93"/>
      <c r="B795" s="35" t="s">
        <v>59</v>
      </c>
      <c r="C795" s="172" t="s">
        <v>5</v>
      </c>
      <c r="D795" s="36" t="s">
        <v>6</v>
      </c>
      <c r="E795" s="36" t="s">
        <v>61</v>
      </c>
      <c r="F795" s="36" t="s">
        <v>62</v>
      </c>
      <c r="G795" s="36" t="s">
        <v>63</v>
      </c>
      <c r="H795" s="36" t="s">
        <v>64</v>
      </c>
      <c r="I795" s="37" t="s">
        <v>65</v>
      </c>
    </row>
    <row r="796" spans="1:9" ht="15.95" customHeight="1">
      <c r="B796" s="97"/>
      <c r="C796" s="39"/>
      <c r="D796" s="140"/>
      <c r="E796" s="40"/>
      <c r="F796" s="40"/>
      <c r="G796" s="40"/>
      <c r="H796" s="40"/>
      <c r="I796" s="87">
        <f>D796*E796*G796+D796*F796*H796</f>
        <v>0</v>
      </c>
    </row>
    <row r="797" spans="1:9" ht="15.95" customHeight="1">
      <c r="B797" s="628" t="s">
        <v>69</v>
      </c>
      <c r="C797" s="628"/>
      <c r="D797" s="628"/>
      <c r="E797" s="628"/>
      <c r="F797" s="628"/>
      <c r="G797" s="628"/>
      <c r="H797" s="628"/>
      <c r="I797" s="95">
        <f>SUM(I796:I796)</f>
        <v>0</v>
      </c>
    </row>
    <row r="798" spans="1:9" s="127" customFormat="1" ht="30" customHeight="1">
      <c r="B798" s="626" t="s">
        <v>70</v>
      </c>
      <c r="C798" s="626"/>
      <c r="D798" s="626"/>
      <c r="E798" s="626"/>
      <c r="F798" s="626"/>
      <c r="G798" s="626"/>
      <c r="H798" s="626"/>
      <c r="I798" s="626"/>
    </row>
    <row r="799" spans="1:9">
      <c r="B799" s="179" t="s">
        <v>59</v>
      </c>
      <c r="C799" s="180" t="s">
        <v>5</v>
      </c>
      <c r="D799" s="47" t="s">
        <v>6</v>
      </c>
      <c r="E799" s="46"/>
      <c r="F799" s="46"/>
      <c r="G799" s="46"/>
      <c r="H799" s="47" t="s">
        <v>71</v>
      </c>
      <c r="I799" s="90" t="s">
        <v>65</v>
      </c>
    </row>
    <row r="800" spans="1:9" ht="15.75" customHeight="1">
      <c r="B800" s="307" t="s">
        <v>417</v>
      </c>
      <c r="C800" s="308" t="s">
        <v>27</v>
      </c>
      <c r="D800" s="309">
        <v>1</v>
      </c>
      <c r="E800" s="50"/>
      <c r="F800" s="50"/>
      <c r="G800" s="50"/>
      <c r="H800" s="56">
        <f>INSUMOS!E57</f>
        <v>100</v>
      </c>
      <c r="I800" s="87">
        <f>H800*D800</f>
        <v>100</v>
      </c>
    </row>
    <row r="801" spans="2:9" ht="15.95" customHeight="1">
      <c r="B801" s="628" t="s">
        <v>69</v>
      </c>
      <c r="C801" s="628"/>
      <c r="D801" s="628"/>
      <c r="E801" s="628"/>
      <c r="F801" s="628"/>
      <c r="G801" s="628"/>
      <c r="H801" s="628"/>
      <c r="I801" s="90">
        <f>SUM(I800:I800)</f>
        <v>100</v>
      </c>
    </row>
    <row r="802" spans="2:9" s="127" customFormat="1" ht="30" customHeight="1">
      <c r="B802" s="626" t="s">
        <v>72</v>
      </c>
      <c r="C802" s="626"/>
      <c r="D802" s="626"/>
      <c r="E802" s="626"/>
      <c r="F802" s="626"/>
      <c r="G802" s="626"/>
      <c r="H802" s="626"/>
      <c r="I802" s="626"/>
    </row>
    <row r="803" spans="2:9" ht="15.95" customHeight="1">
      <c r="B803" s="45" t="s">
        <v>59</v>
      </c>
      <c r="C803" s="71" t="s">
        <v>5</v>
      </c>
      <c r="D803" s="47" t="s">
        <v>6</v>
      </c>
      <c r="E803" s="46"/>
      <c r="F803" s="46"/>
      <c r="G803" s="46"/>
      <c r="H803" s="47" t="s">
        <v>71</v>
      </c>
      <c r="I803" s="90" t="s">
        <v>65</v>
      </c>
    </row>
    <row r="804" spans="2:9" ht="15.95" customHeight="1">
      <c r="B804" s="48"/>
      <c r="C804" s="47"/>
      <c r="D804" s="47"/>
      <c r="E804" s="46"/>
      <c r="F804" s="46"/>
      <c r="G804" s="46"/>
      <c r="H804" s="47"/>
      <c r="I804" s="90">
        <f>D804*H804</f>
        <v>0</v>
      </c>
    </row>
    <row r="805" spans="2:9" ht="15.95" customHeight="1">
      <c r="B805" s="628" t="s">
        <v>69</v>
      </c>
      <c r="C805" s="628"/>
      <c r="D805" s="628"/>
      <c r="E805" s="628"/>
      <c r="F805" s="628"/>
      <c r="G805" s="628"/>
      <c r="H805" s="628"/>
      <c r="I805" s="90">
        <f>SUM(I804:I804)</f>
        <v>0</v>
      </c>
    </row>
    <row r="806" spans="2:9" s="127" customFormat="1" ht="30" customHeight="1">
      <c r="B806" s="626" t="s">
        <v>74</v>
      </c>
      <c r="C806" s="626"/>
      <c r="D806" s="626"/>
      <c r="E806" s="626"/>
      <c r="F806" s="626"/>
      <c r="G806" s="626"/>
      <c r="H806" s="626"/>
      <c r="I806" s="626"/>
    </row>
    <row r="807" spans="2:9" ht="15.95" customHeight="1">
      <c r="B807" s="179" t="s">
        <v>59</v>
      </c>
      <c r="C807" s="180" t="s">
        <v>5</v>
      </c>
      <c r="D807" s="144" t="s">
        <v>6</v>
      </c>
      <c r="E807" s="46"/>
      <c r="F807" s="46"/>
      <c r="G807" s="46"/>
      <c r="H807" s="47" t="s">
        <v>71</v>
      </c>
      <c r="I807" s="90" t="s">
        <v>65</v>
      </c>
    </row>
    <row r="808" spans="2:9" ht="15.95" customHeight="1">
      <c r="B808" s="53" t="s">
        <v>149</v>
      </c>
      <c r="C808" s="71" t="s">
        <v>67</v>
      </c>
      <c r="D808" s="47">
        <v>0.5</v>
      </c>
      <c r="E808" s="46"/>
      <c r="F808" s="46"/>
      <c r="G808" s="46"/>
      <c r="H808" s="56">
        <f>INSUMOS!E19</f>
        <v>4.55</v>
      </c>
      <c r="I808" s="90">
        <f>H808*D808</f>
        <v>2.2799999999999998</v>
      </c>
    </row>
    <row r="809" spans="2:9" ht="15.95" customHeight="1">
      <c r="B809" s="91" t="s">
        <v>75</v>
      </c>
      <c r="C809" s="71" t="s">
        <v>67</v>
      </c>
      <c r="D809" s="47">
        <v>0.5</v>
      </c>
      <c r="E809" s="46"/>
      <c r="F809" s="46"/>
      <c r="G809" s="46"/>
      <c r="H809" s="56">
        <f>INSUMOS!E14</f>
        <v>3.42</v>
      </c>
      <c r="I809" s="90">
        <f>H809*D809</f>
        <v>1.71</v>
      </c>
    </row>
    <row r="810" spans="2:9" ht="15.95" customHeight="1">
      <c r="B810" s="635" t="s">
        <v>576</v>
      </c>
      <c r="C810" s="635"/>
      <c r="D810" s="635"/>
      <c r="E810" s="635"/>
      <c r="F810" s="635"/>
      <c r="G810" s="635"/>
      <c r="H810" s="635"/>
      <c r="I810" s="90">
        <f>SUM(I808:I809)*0.9103</f>
        <v>3.63</v>
      </c>
    </row>
    <row r="811" spans="2:9" ht="15.95" customHeight="1">
      <c r="B811" s="628" t="s">
        <v>69</v>
      </c>
      <c r="C811" s="628"/>
      <c r="D811" s="628"/>
      <c r="E811" s="628"/>
      <c r="F811" s="628"/>
      <c r="G811" s="628"/>
      <c r="H811" s="628"/>
      <c r="I811" s="95">
        <f>SUM(I808:I810)</f>
        <v>7.62</v>
      </c>
    </row>
    <row r="812" spans="2:9" ht="15.95" customHeight="1">
      <c r="B812" s="147" t="s">
        <v>76</v>
      </c>
      <c r="C812" s="148">
        <v>1</v>
      </c>
      <c r="D812" s="636" t="s">
        <v>77</v>
      </c>
      <c r="E812" s="637"/>
      <c r="F812" s="637"/>
      <c r="G812" s="637"/>
      <c r="H812" s="638"/>
      <c r="I812" s="95">
        <f>I797+I801+I805+I811</f>
        <v>107.62</v>
      </c>
    </row>
    <row r="813" spans="2:9" ht="15.95" customHeight="1">
      <c r="B813" s="632"/>
      <c r="C813" s="633"/>
      <c r="D813" s="633"/>
      <c r="E813" s="633"/>
      <c r="F813" s="633"/>
      <c r="G813" s="633"/>
      <c r="H813" s="634"/>
      <c r="I813" s="95">
        <f>I812/C812</f>
        <v>107.62</v>
      </c>
    </row>
    <row r="814" spans="2:9" ht="15.95" customHeight="1">
      <c r="B814" s="139" t="s">
        <v>334</v>
      </c>
      <c r="C814" s="145">
        <f>BDI!C37</f>
        <v>24.5</v>
      </c>
      <c r="D814" s="146" t="s">
        <v>269</v>
      </c>
      <c r="E814" s="136"/>
      <c r="F814" s="136"/>
      <c r="G814" s="136"/>
      <c r="H814" s="137"/>
      <c r="I814" s="90">
        <f>C814/100*I813</f>
        <v>26.37</v>
      </c>
    </row>
    <row r="815" spans="2:9" s="127" customFormat="1" ht="30" customHeight="1" thickBot="1">
      <c r="B815" s="627" t="s">
        <v>78</v>
      </c>
      <c r="C815" s="627"/>
      <c r="D815" s="627"/>
      <c r="E815" s="627"/>
      <c r="F815" s="627"/>
      <c r="G815" s="627"/>
      <c r="H815" s="627"/>
      <c r="I815" s="135">
        <f>SUM(I813:I814)</f>
        <v>133.99</v>
      </c>
    </row>
    <row r="820" spans="1:9" ht="13.5" thickBot="1"/>
    <row r="821" spans="1:9" s="127" customFormat="1" ht="30" customHeight="1">
      <c r="B821" s="200" t="s">
        <v>55</v>
      </c>
      <c r="C821" s="474" t="str">
        <f>'Planilha Orçamentária'!B54</f>
        <v>3.12</v>
      </c>
      <c r="D821" s="639" t="s">
        <v>56</v>
      </c>
      <c r="E821" s="639"/>
      <c r="F821" s="639"/>
      <c r="G821" s="639"/>
      <c r="H821" s="639"/>
      <c r="I821" s="639"/>
    </row>
    <row r="822" spans="1:9" s="127" customFormat="1" ht="30" customHeight="1">
      <c r="B822" s="640" t="s">
        <v>332</v>
      </c>
      <c r="C822" s="641"/>
      <c r="D822" s="641"/>
      <c r="E822" s="641"/>
      <c r="F822" s="641"/>
      <c r="G822" s="642"/>
      <c r="H822" s="643" t="s">
        <v>700</v>
      </c>
      <c r="I822" s="644"/>
    </row>
    <row r="823" spans="1:9" s="127" customFormat="1" ht="30" customHeight="1">
      <c r="B823" s="625" t="s">
        <v>419</v>
      </c>
      <c r="C823" s="625"/>
      <c r="D823" s="625"/>
      <c r="E823" s="625"/>
      <c r="F823" s="625"/>
      <c r="G823" s="625"/>
      <c r="H823" s="34" t="s">
        <v>57</v>
      </c>
      <c r="I823" s="126" t="s">
        <v>32</v>
      </c>
    </row>
    <row r="824" spans="1:9" s="127" customFormat="1" ht="30" customHeight="1">
      <c r="B824" s="626" t="s">
        <v>58</v>
      </c>
      <c r="C824" s="626"/>
      <c r="D824" s="626"/>
      <c r="E824" s="626"/>
      <c r="F824" s="626"/>
      <c r="G824" s="626"/>
      <c r="H824" s="626"/>
      <c r="I824" s="626"/>
    </row>
    <row r="825" spans="1:9" ht="25.5">
      <c r="A825" s="93"/>
      <c r="B825" s="35" t="s">
        <v>59</v>
      </c>
      <c r="C825" s="172" t="s">
        <v>5</v>
      </c>
      <c r="D825" s="36" t="s">
        <v>6</v>
      </c>
      <c r="E825" s="36" t="s">
        <v>61</v>
      </c>
      <c r="F825" s="36" t="s">
        <v>62</v>
      </c>
      <c r="G825" s="36" t="s">
        <v>63</v>
      </c>
      <c r="H825" s="36" t="s">
        <v>64</v>
      </c>
      <c r="I825" s="37" t="s">
        <v>65</v>
      </c>
    </row>
    <row r="826" spans="1:9" ht="15.95" customHeight="1">
      <c r="B826" s="97"/>
      <c r="C826" s="39"/>
      <c r="D826" s="140"/>
      <c r="E826" s="40"/>
      <c r="F826" s="40"/>
      <c r="G826" s="40"/>
      <c r="H826" s="40"/>
      <c r="I826" s="87">
        <f>D826*E826*G826+D826*F826*H826</f>
        <v>0</v>
      </c>
    </row>
    <row r="827" spans="1:9" ht="15.95" customHeight="1">
      <c r="B827" s="628" t="s">
        <v>69</v>
      </c>
      <c r="C827" s="628"/>
      <c r="D827" s="628"/>
      <c r="E827" s="628"/>
      <c r="F827" s="628"/>
      <c r="G827" s="628"/>
      <c r="H827" s="628"/>
      <c r="I827" s="95">
        <f>SUM(I826:I826)</f>
        <v>0</v>
      </c>
    </row>
    <row r="828" spans="1:9" s="127" customFormat="1" ht="30" customHeight="1">
      <c r="B828" s="626" t="s">
        <v>70</v>
      </c>
      <c r="C828" s="626"/>
      <c r="D828" s="626"/>
      <c r="E828" s="626"/>
      <c r="F828" s="626"/>
      <c r="G828" s="626"/>
      <c r="H828" s="626"/>
      <c r="I828" s="626"/>
    </row>
    <row r="829" spans="1:9">
      <c r="B829" s="179" t="s">
        <v>59</v>
      </c>
      <c r="C829" s="180" t="s">
        <v>5</v>
      </c>
      <c r="D829" s="47" t="s">
        <v>6</v>
      </c>
      <c r="E829" s="46"/>
      <c r="F829" s="46"/>
      <c r="G829" s="46"/>
      <c r="H829" s="47" t="s">
        <v>71</v>
      </c>
      <c r="I829" s="90" t="s">
        <v>65</v>
      </c>
    </row>
    <row r="830" spans="1:9" ht="15.75" customHeight="1">
      <c r="B830" s="307" t="s">
        <v>418</v>
      </c>
      <c r="C830" s="308" t="s">
        <v>32</v>
      </c>
      <c r="D830" s="309">
        <v>1</v>
      </c>
      <c r="E830" s="50"/>
      <c r="F830" s="50"/>
      <c r="G830" s="50"/>
      <c r="H830" s="56">
        <f>INSUMOS!E44</f>
        <v>680</v>
      </c>
      <c r="I830" s="87">
        <f>H830*D830</f>
        <v>680</v>
      </c>
    </row>
    <row r="831" spans="1:9" ht="15.95" customHeight="1">
      <c r="B831" s="628" t="s">
        <v>69</v>
      </c>
      <c r="C831" s="628"/>
      <c r="D831" s="628"/>
      <c r="E831" s="628"/>
      <c r="F831" s="628"/>
      <c r="G831" s="628"/>
      <c r="H831" s="628"/>
      <c r="I831" s="90">
        <f>SUM(I830:I830)</f>
        <v>680</v>
      </c>
    </row>
    <row r="832" spans="1:9" s="127" customFormat="1" ht="30" customHeight="1">
      <c r="B832" s="626" t="s">
        <v>72</v>
      </c>
      <c r="C832" s="626"/>
      <c r="D832" s="626"/>
      <c r="E832" s="626"/>
      <c r="F832" s="626"/>
      <c r="G832" s="626"/>
      <c r="H832" s="626"/>
      <c r="I832" s="626"/>
    </row>
    <row r="833" spans="2:9" ht="15.95" customHeight="1">
      <c r="B833" s="45" t="s">
        <v>59</v>
      </c>
      <c r="C833" s="71" t="s">
        <v>5</v>
      </c>
      <c r="D833" s="47" t="s">
        <v>6</v>
      </c>
      <c r="E833" s="46"/>
      <c r="F833" s="46"/>
      <c r="G833" s="46"/>
      <c r="H833" s="47" t="s">
        <v>71</v>
      </c>
      <c r="I833" s="90" t="s">
        <v>65</v>
      </c>
    </row>
    <row r="834" spans="2:9" ht="15.95" customHeight="1">
      <c r="B834" s="48"/>
      <c r="C834" s="47"/>
      <c r="D834" s="47"/>
      <c r="E834" s="46"/>
      <c r="F834" s="46"/>
      <c r="G834" s="46"/>
      <c r="H834" s="47"/>
      <c r="I834" s="90">
        <f>D834*H834</f>
        <v>0</v>
      </c>
    </row>
    <row r="835" spans="2:9" ht="15.95" customHeight="1">
      <c r="B835" s="628" t="s">
        <v>69</v>
      </c>
      <c r="C835" s="628"/>
      <c r="D835" s="628"/>
      <c r="E835" s="628"/>
      <c r="F835" s="628"/>
      <c r="G835" s="628"/>
      <c r="H835" s="628"/>
      <c r="I835" s="90">
        <f>SUM(I834:I834)</f>
        <v>0</v>
      </c>
    </row>
    <row r="836" spans="2:9" s="127" customFormat="1" ht="30" customHeight="1">
      <c r="B836" s="626" t="s">
        <v>74</v>
      </c>
      <c r="C836" s="626"/>
      <c r="D836" s="626"/>
      <c r="E836" s="626"/>
      <c r="F836" s="626"/>
      <c r="G836" s="626"/>
      <c r="H836" s="626"/>
      <c r="I836" s="626"/>
    </row>
    <row r="837" spans="2:9" ht="15.95" customHeight="1">
      <c r="B837" s="179" t="s">
        <v>59</v>
      </c>
      <c r="C837" s="180" t="s">
        <v>5</v>
      </c>
      <c r="D837" s="144" t="s">
        <v>6</v>
      </c>
      <c r="E837" s="46"/>
      <c r="F837" s="46"/>
      <c r="G837" s="46"/>
      <c r="H837" s="47" t="s">
        <v>71</v>
      </c>
      <c r="I837" s="90" t="s">
        <v>65</v>
      </c>
    </row>
    <row r="838" spans="2:9" ht="15.95" customHeight="1">
      <c r="B838" s="53" t="s">
        <v>99</v>
      </c>
      <c r="C838" s="71" t="s">
        <v>67</v>
      </c>
      <c r="D838" s="47">
        <v>4</v>
      </c>
      <c r="E838" s="46"/>
      <c r="F838" s="46"/>
      <c r="G838" s="46"/>
      <c r="H838" s="56">
        <f>INSUMOS!E17</f>
        <v>9.94</v>
      </c>
      <c r="I838" s="90">
        <f>H838*D838</f>
        <v>39.76</v>
      </c>
    </row>
    <row r="839" spans="2:9" ht="15.95" customHeight="1">
      <c r="B839" s="91" t="s">
        <v>75</v>
      </c>
      <c r="C839" s="71" t="s">
        <v>67</v>
      </c>
      <c r="D839" s="47">
        <v>4</v>
      </c>
      <c r="E839" s="46"/>
      <c r="F839" s="46"/>
      <c r="G839" s="46"/>
      <c r="H839" s="56">
        <f>INSUMOS!E14</f>
        <v>3.42</v>
      </c>
      <c r="I839" s="90">
        <f>H839*D839</f>
        <v>13.68</v>
      </c>
    </row>
    <row r="840" spans="2:9" ht="15.95" customHeight="1">
      <c r="B840" s="635" t="s">
        <v>576</v>
      </c>
      <c r="C840" s="635"/>
      <c r="D840" s="635"/>
      <c r="E840" s="635"/>
      <c r="F840" s="635"/>
      <c r="G840" s="635"/>
      <c r="H840" s="635"/>
      <c r="I840" s="90">
        <f>SUM(I838:I839)*0.9103</f>
        <v>48.65</v>
      </c>
    </row>
    <row r="841" spans="2:9" ht="15.95" customHeight="1">
      <c r="B841" s="628" t="s">
        <v>69</v>
      </c>
      <c r="C841" s="628"/>
      <c r="D841" s="628"/>
      <c r="E841" s="628"/>
      <c r="F841" s="628"/>
      <c r="G841" s="628"/>
      <c r="H841" s="628"/>
      <c r="I841" s="95">
        <f>SUM(I838:I840)</f>
        <v>102.09</v>
      </c>
    </row>
    <row r="842" spans="2:9" ht="15.95" customHeight="1">
      <c r="B842" s="147" t="s">
        <v>76</v>
      </c>
      <c r="C842" s="148">
        <v>1</v>
      </c>
      <c r="D842" s="636" t="s">
        <v>77</v>
      </c>
      <c r="E842" s="637"/>
      <c r="F842" s="637"/>
      <c r="G842" s="637"/>
      <c r="H842" s="638"/>
      <c r="I842" s="95">
        <f>I827+I831+I835+I841</f>
        <v>782.09</v>
      </c>
    </row>
    <row r="843" spans="2:9" ht="15.95" customHeight="1">
      <c r="B843" s="632"/>
      <c r="C843" s="633"/>
      <c r="D843" s="633"/>
      <c r="E843" s="633"/>
      <c r="F843" s="633"/>
      <c r="G843" s="633"/>
      <c r="H843" s="634"/>
      <c r="I843" s="95">
        <f>I842/C842</f>
        <v>782.09</v>
      </c>
    </row>
    <row r="844" spans="2:9" ht="15.95" customHeight="1">
      <c r="B844" s="139" t="s">
        <v>334</v>
      </c>
      <c r="C844" s="145">
        <f>BDI!C37</f>
        <v>24.5</v>
      </c>
      <c r="D844" s="146" t="s">
        <v>269</v>
      </c>
      <c r="E844" s="136"/>
      <c r="F844" s="136"/>
      <c r="G844" s="136"/>
      <c r="H844" s="137"/>
      <c r="I844" s="90">
        <f>C844/100*I843</f>
        <v>191.61</v>
      </c>
    </row>
    <row r="845" spans="2:9" s="127" customFormat="1" ht="30" customHeight="1" thickBot="1">
      <c r="B845" s="627" t="s">
        <v>78</v>
      </c>
      <c r="C845" s="627"/>
      <c r="D845" s="627"/>
      <c r="E845" s="627"/>
      <c r="F845" s="627"/>
      <c r="G845" s="627"/>
      <c r="H845" s="627"/>
      <c r="I845" s="135">
        <f>SUM(I843:I844)</f>
        <v>973.7</v>
      </c>
    </row>
    <row r="851" spans="1:9" ht="13.5" thickBot="1"/>
    <row r="852" spans="1:9" s="127" customFormat="1" ht="30" customHeight="1">
      <c r="B852" s="200" t="s">
        <v>55</v>
      </c>
      <c r="C852" s="474" t="str">
        <f>'Planilha Orçamentária'!B57</f>
        <v>3.15</v>
      </c>
      <c r="D852" s="639" t="s">
        <v>56</v>
      </c>
      <c r="E852" s="639"/>
      <c r="F852" s="639"/>
      <c r="G852" s="639"/>
      <c r="H852" s="639"/>
      <c r="I852" s="639"/>
    </row>
    <row r="853" spans="1:9" s="127" customFormat="1" ht="30" customHeight="1">
      <c r="B853" s="640" t="s">
        <v>332</v>
      </c>
      <c r="C853" s="641"/>
      <c r="D853" s="641"/>
      <c r="E853" s="641"/>
      <c r="F853" s="641"/>
      <c r="G853" s="642"/>
      <c r="H853" s="643" t="s">
        <v>700</v>
      </c>
      <c r="I853" s="644"/>
    </row>
    <row r="854" spans="1:9" s="127" customFormat="1" ht="30" customHeight="1">
      <c r="B854" s="648" t="s">
        <v>420</v>
      </c>
      <c r="C854" s="648"/>
      <c r="D854" s="648"/>
      <c r="E854" s="648"/>
      <c r="F854" s="648"/>
      <c r="G854" s="648"/>
      <c r="H854" s="34" t="s">
        <v>57</v>
      </c>
      <c r="I854" s="126" t="s">
        <v>379</v>
      </c>
    </row>
    <row r="855" spans="1:9" s="127" customFormat="1" ht="30" customHeight="1">
      <c r="B855" s="626" t="s">
        <v>58</v>
      </c>
      <c r="C855" s="626"/>
      <c r="D855" s="626"/>
      <c r="E855" s="626"/>
      <c r="F855" s="626"/>
      <c r="G855" s="626"/>
      <c r="H855" s="626"/>
      <c r="I855" s="626"/>
    </row>
    <row r="856" spans="1:9" ht="25.5">
      <c r="A856" s="93"/>
      <c r="B856" s="35" t="s">
        <v>59</v>
      </c>
      <c r="C856" s="172" t="s">
        <v>5</v>
      </c>
      <c r="D856" s="36" t="s">
        <v>6</v>
      </c>
      <c r="E856" s="36" t="s">
        <v>61</v>
      </c>
      <c r="F856" s="36" t="s">
        <v>62</v>
      </c>
      <c r="G856" s="36" t="s">
        <v>63</v>
      </c>
      <c r="H856" s="36" t="s">
        <v>64</v>
      </c>
      <c r="I856" s="37" t="s">
        <v>65</v>
      </c>
    </row>
    <row r="857" spans="1:9" ht="15.95" customHeight="1">
      <c r="B857" s="84" t="s">
        <v>102</v>
      </c>
      <c r="C857" s="85" t="s">
        <v>67</v>
      </c>
      <c r="D857" s="241">
        <v>6</v>
      </c>
      <c r="E857" s="58"/>
      <c r="F857" s="58"/>
      <c r="G857" s="56">
        <f>INSUMOS!E101</f>
        <v>13.73</v>
      </c>
      <c r="I857" s="90">
        <f>G857*D857</f>
        <v>82.38</v>
      </c>
    </row>
    <row r="858" spans="1:9">
      <c r="B858" s="628" t="s">
        <v>69</v>
      </c>
      <c r="C858" s="628"/>
      <c r="D858" s="628"/>
      <c r="E858" s="628"/>
      <c r="F858" s="628"/>
      <c r="G858" s="628"/>
      <c r="H858" s="628"/>
      <c r="I858" s="95">
        <f>SUM(I857:I857)</f>
        <v>82.38</v>
      </c>
    </row>
    <row r="859" spans="1:9" s="127" customFormat="1" ht="30" customHeight="1">
      <c r="B859" s="626" t="s">
        <v>70</v>
      </c>
      <c r="C859" s="626"/>
      <c r="D859" s="626"/>
      <c r="E859" s="626"/>
      <c r="F859" s="626"/>
      <c r="G859" s="626"/>
      <c r="H859" s="626"/>
      <c r="I859" s="626"/>
    </row>
    <row r="860" spans="1:9" ht="15.95" customHeight="1">
      <c r="B860" s="179" t="s">
        <v>59</v>
      </c>
      <c r="C860" s="180" t="s">
        <v>5</v>
      </c>
      <c r="D860" s="47" t="s">
        <v>6</v>
      </c>
      <c r="E860" s="46"/>
      <c r="F860" s="46"/>
      <c r="G860" s="46"/>
      <c r="H860" s="47" t="s">
        <v>71</v>
      </c>
      <c r="I860" s="90" t="s">
        <v>65</v>
      </c>
    </row>
    <row r="861" spans="1:9" ht="15.95" customHeight="1">
      <c r="B861" s="97" t="s">
        <v>98</v>
      </c>
      <c r="C861" s="88" t="s">
        <v>94</v>
      </c>
      <c r="D861" s="89">
        <v>12</v>
      </c>
      <c r="E861" s="46"/>
      <c r="F861" s="46"/>
      <c r="G861" s="46"/>
      <c r="H861" s="56">
        <f>INSUMOS!E32</f>
        <v>2.38</v>
      </c>
      <c r="I861" s="90">
        <f>H861*D861</f>
        <v>28.56</v>
      </c>
    </row>
    <row r="862" spans="1:9" ht="15.95" customHeight="1">
      <c r="B862" s="97" t="s">
        <v>109</v>
      </c>
      <c r="C862" s="88" t="s">
        <v>94</v>
      </c>
      <c r="D862" s="89">
        <v>0.34</v>
      </c>
      <c r="E862" s="46"/>
      <c r="F862" s="46"/>
      <c r="G862" s="46"/>
      <c r="H862" s="56">
        <f>INSUMOS!E33</f>
        <v>14</v>
      </c>
      <c r="I862" s="90">
        <f>H862*D862</f>
        <v>4.76</v>
      </c>
    </row>
    <row r="863" spans="1:9" ht="15.95" customHeight="1">
      <c r="B863" s="628" t="s">
        <v>69</v>
      </c>
      <c r="C863" s="628"/>
      <c r="D863" s="628"/>
      <c r="E863" s="628"/>
      <c r="F863" s="628"/>
      <c r="G863" s="628"/>
      <c r="H863" s="628"/>
      <c r="I863" s="90">
        <f>SUM(I861:I862)</f>
        <v>33.32</v>
      </c>
    </row>
    <row r="864" spans="1:9" s="127" customFormat="1" ht="30" customHeight="1">
      <c r="B864" s="626" t="s">
        <v>72</v>
      </c>
      <c r="C864" s="626"/>
      <c r="D864" s="626"/>
      <c r="E864" s="626"/>
      <c r="F864" s="626"/>
      <c r="G864" s="626"/>
      <c r="H864" s="626"/>
      <c r="I864" s="626"/>
    </row>
    <row r="865" spans="2:9" ht="15.95" customHeight="1">
      <c r="B865" s="45" t="s">
        <v>59</v>
      </c>
      <c r="C865" s="57" t="s">
        <v>5</v>
      </c>
      <c r="D865" s="47" t="s">
        <v>6</v>
      </c>
      <c r="E865" s="46"/>
      <c r="F865" s="46"/>
      <c r="G865" s="46"/>
      <c r="H865" s="47" t="s">
        <v>71</v>
      </c>
      <c r="I865" s="43" t="s">
        <v>65</v>
      </c>
    </row>
    <row r="866" spans="2:9" ht="15.95" customHeight="1">
      <c r="B866" s="48"/>
      <c r="C866" s="47"/>
      <c r="D866" s="47"/>
      <c r="E866" s="46"/>
      <c r="F866" s="46"/>
      <c r="G866" s="46"/>
      <c r="H866" s="47"/>
      <c r="I866" s="90">
        <f>D866*H866</f>
        <v>0</v>
      </c>
    </row>
    <row r="867" spans="2:9" ht="15.95" customHeight="1">
      <c r="B867" s="628" t="s">
        <v>69</v>
      </c>
      <c r="C867" s="628"/>
      <c r="D867" s="628"/>
      <c r="E867" s="628"/>
      <c r="F867" s="628"/>
      <c r="G867" s="628"/>
      <c r="H867" s="628"/>
      <c r="I867" s="90">
        <f>SUM(I866:I866)</f>
        <v>0</v>
      </c>
    </row>
    <row r="868" spans="2:9" s="127" customFormat="1" ht="30" customHeight="1">
      <c r="B868" s="626" t="s">
        <v>74</v>
      </c>
      <c r="C868" s="626"/>
      <c r="D868" s="626"/>
      <c r="E868" s="626"/>
      <c r="F868" s="626"/>
      <c r="G868" s="626"/>
      <c r="H868" s="626"/>
      <c r="I868" s="626"/>
    </row>
    <row r="869" spans="2:9" ht="15.95" customHeight="1">
      <c r="B869" s="179" t="s">
        <v>59</v>
      </c>
      <c r="C869" s="180" t="s">
        <v>5</v>
      </c>
      <c r="D869" s="144" t="s">
        <v>6</v>
      </c>
      <c r="E869" s="46"/>
      <c r="F869" s="46"/>
      <c r="G869" s="46"/>
      <c r="H869" s="47" t="s">
        <v>71</v>
      </c>
      <c r="I869" s="90" t="s">
        <v>65</v>
      </c>
    </row>
    <row r="870" spans="2:9" ht="15.95" customHeight="1">
      <c r="B870" s="99" t="s">
        <v>110</v>
      </c>
      <c r="C870" s="83" t="s">
        <v>67</v>
      </c>
      <c r="D870" s="49">
        <v>1</v>
      </c>
      <c r="E870" s="59"/>
      <c r="F870" s="59"/>
      <c r="G870" s="59"/>
      <c r="H870" s="56">
        <f>INSUMOS!E23</f>
        <v>7.65</v>
      </c>
      <c r="I870" s="87">
        <f>H870*D870</f>
        <v>7.65</v>
      </c>
    </row>
    <row r="871" spans="2:9" ht="15.95" customHeight="1">
      <c r="B871" s="91" t="s">
        <v>75</v>
      </c>
      <c r="C871" s="71" t="s">
        <v>67</v>
      </c>
      <c r="D871" s="47">
        <v>3</v>
      </c>
      <c r="E871" s="42"/>
      <c r="F871" s="42"/>
      <c r="G871" s="42"/>
      <c r="H871" s="56">
        <f>INSUMOS!E14</f>
        <v>3.42</v>
      </c>
      <c r="I871" s="90">
        <f>H871*D871</f>
        <v>10.26</v>
      </c>
    </row>
    <row r="872" spans="2:9" ht="15.95" customHeight="1">
      <c r="B872" s="635" t="s">
        <v>576</v>
      </c>
      <c r="C872" s="635"/>
      <c r="D872" s="635"/>
      <c r="E872" s="635"/>
      <c r="F872" s="635"/>
      <c r="G872" s="635"/>
      <c r="H872" s="635"/>
      <c r="I872" s="90">
        <f>SUM(I870:I871)*0.9103</f>
        <v>16.3</v>
      </c>
    </row>
    <row r="873" spans="2:9" ht="15.95" customHeight="1">
      <c r="B873" s="628" t="s">
        <v>69</v>
      </c>
      <c r="C873" s="628"/>
      <c r="D873" s="628"/>
      <c r="E873" s="628"/>
      <c r="F873" s="628"/>
      <c r="G873" s="628"/>
      <c r="H873" s="628"/>
      <c r="I873" s="95">
        <f>SUM(I870:I872)</f>
        <v>34.21</v>
      </c>
    </row>
    <row r="874" spans="2:9" ht="15.95" customHeight="1">
      <c r="B874" s="147" t="s">
        <v>76</v>
      </c>
      <c r="C874" s="148">
        <v>1</v>
      </c>
      <c r="D874" s="636" t="s">
        <v>77</v>
      </c>
      <c r="E874" s="637"/>
      <c r="F874" s="637"/>
      <c r="G874" s="637"/>
      <c r="H874" s="638"/>
      <c r="I874" s="95">
        <f>I858+I863+I867+I873</f>
        <v>149.91</v>
      </c>
    </row>
    <row r="875" spans="2:9" ht="15.95" customHeight="1">
      <c r="B875" s="632"/>
      <c r="C875" s="633"/>
      <c r="D875" s="633"/>
      <c r="E875" s="633"/>
      <c r="F875" s="633"/>
      <c r="G875" s="633"/>
      <c r="H875" s="634"/>
      <c r="I875" s="95">
        <f>I874/C874</f>
        <v>149.91</v>
      </c>
    </row>
    <row r="876" spans="2:9" ht="15.95" customHeight="1">
      <c r="B876" s="139" t="s">
        <v>334</v>
      </c>
      <c r="C876" s="145">
        <f>BDI!C37</f>
        <v>24.5</v>
      </c>
      <c r="D876" s="146" t="s">
        <v>269</v>
      </c>
      <c r="E876" s="136"/>
      <c r="F876" s="136"/>
      <c r="G876" s="136"/>
      <c r="H876" s="137"/>
      <c r="I876" s="90">
        <f>C876/100*I875</f>
        <v>36.729999999999997</v>
      </c>
    </row>
    <row r="877" spans="2:9" s="127" customFormat="1" ht="30" customHeight="1" thickBot="1">
      <c r="B877" s="627" t="s">
        <v>78</v>
      </c>
      <c r="C877" s="627"/>
      <c r="D877" s="627"/>
      <c r="E877" s="627"/>
      <c r="F877" s="627"/>
      <c r="G877" s="627"/>
      <c r="H877" s="627"/>
      <c r="I877" s="135">
        <f>SUM(I875:I876)</f>
        <v>186.64</v>
      </c>
    </row>
    <row r="882" spans="1:9" ht="13.5" thickBot="1"/>
    <row r="883" spans="1:9" s="127" customFormat="1" ht="30" customHeight="1">
      <c r="B883" s="200" t="s">
        <v>55</v>
      </c>
      <c r="C883" s="474" t="str">
        <f>'Planilha Orçamentária'!B58</f>
        <v>3.16</v>
      </c>
      <c r="D883" s="639" t="s">
        <v>56</v>
      </c>
      <c r="E883" s="639"/>
      <c r="F883" s="639"/>
      <c r="G883" s="639"/>
      <c r="H883" s="639"/>
      <c r="I883" s="639"/>
    </row>
    <row r="884" spans="1:9" s="127" customFormat="1" ht="30" customHeight="1">
      <c r="B884" s="640" t="s">
        <v>332</v>
      </c>
      <c r="C884" s="641"/>
      <c r="D884" s="641"/>
      <c r="E884" s="641"/>
      <c r="F884" s="641"/>
      <c r="G884" s="642"/>
      <c r="H884" s="643" t="s">
        <v>700</v>
      </c>
      <c r="I884" s="644"/>
    </row>
    <row r="885" spans="1:9" s="127" customFormat="1" ht="30" customHeight="1">
      <c r="B885" s="648" t="s">
        <v>422</v>
      </c>
      <c r="C885" s="648"/>
      <c r="D885" s="648"/>
      <c r="E885" s="648"/>
      <c r="F885" s="648"/>
      <c r="G885" s="648"/>
      <c r="H885" s="34" t="s">
        <v>57</v>
      </c>
      <c r="I885" s="126" t="s">
        <v>379</v>
      </c>
    </row>
    <row r="886" spans="1:9" s="127" customFormat="1" ht="30" customHeight="1">
      <c r="B886" s="626" t="s">
        <v>58</v>
      </c>
      <c r="C886" s="626"/>
      <c r="D886" s="626"/>
      <c r="E886" s="626"/>
      <c r="F886" s="626"/>
      <c r="G886" s="626"/>
      <c r="H886" s="626"/>
      <c r="I886" s="626"/>
    </row>
    <row r="887" spans="1:9" ht="25.5">
      <c r="A887" s="93"/>
      <c r="B887" s="35" t="s">
        <v>59</v>
      </c>
      <c r="C887" s="172" t="s">
        <v>5</v>
      </c>
      <c r="D887" s="36" t="s">
        <v>6</v>
      </c>
      <c r="E887" s="36" t="s">
        <v>61</v>
      </c>
      <c r="F887" s="36" t="s">
        <v>62</v>
      </c>
      <c r="G887" s="36" t="s">
        <v>63</v>
      </c>
      <c r="H887" s="36" t="s">
        <v>64</v>
      </c>
      <c r="I887" s="37" t="s">
        <v>65</v>
      </c>
    </row>
    <row r="888" spans="1:9" ht="15.95" customHeight="1">
      <c r="B888" s="84" t="s">
        <v>477</v>
      </c>
      <c r="C888" s="85" t="s">
        <v>67</v>
      </c>
      <c r="D888" s="241">
        <v>1.8</v>
      </c>
      <c r="E888" s="58"/>
      <c r="F888" s="58"/>
      <c r="G888" s="56">
        <f>INSUMOS!E52</f>
        <v>150</v>
      </c>
      <c r="I888" s="90">
        <f>G888*D888</f>
        <v>270</v>
      </c>
    </row>
    <row r="889" spans="1:9">
      <c r="B889" s="628" t="s">
        <v>69</v>
      </c>
      <c r="C889" s="628"/>
      <c r="D889" s="628"/>
      <c r="E889" s="628"/>
      <c r="F889" s="628"/>
      <c r="G889" s="628"/>
      <c r="H889" s="628"/>
      <c r="I889" s="95">
        <f>SUM(I888:I888)</f>
        <v>270</v>
      </c>
    </row>
    <row r="890" spans="1:9" s="127" customFormat="1" ht="30" customHeight="1">
      <c r="B890" s="626" t="s">
        <v>70</v>
      </c>
      <c r="C890" s="626"/>
      <c r="D890" s="626"/>
      <c r="E890" s="626"/>
      <c r="F890" s="626"/>
      <c r="G890" s="626"/>
      <c r="H890" s="626"/>
      <c r="I890" s="626"/>
    </row>
    <row r="891" spans="1:9" ht="15.95" customHeight="1">
      <c r="B891" s="179" t="s">
        <v>59</v>
      </c>
      <c r="C891" s="180" t="s">
        <v>5</v>
      </c>
      <c r="D891" s="47" t="s">
        <v>6</v>
      </c>
      <c r="E891" s="46"/>
      <c r="F891" s="46"/>
      <c r="G891" s="46"/>
      <c r="H891" s="47" t="s">
        <v>71</v>
      </c>
      <c r="I891" s="90" t="s">
        <v>65</v>
      </c>
    </row>
    <row r="892" spans="1:9" ht="15.95" customHeight="1">
      <c r="B892" s="97"/>
      <c r="C892" s="88"/>
      <c r="D892" s="89"/>
      <c r="E892" s="46"/>
      <c r="F892" s="46"/>
      <c r="G892" s="46"/>
      <c r="H892" s="49"/>
      <c r="I892" s="90">
        <f>H892*D892</f>
        <v>0</v>
      </c>
    </row>
    <row r="893" spans="1:9" ht="15.95" customHeight="1">
      <c r="B893" s="628" t="s">
        <v>69</v>
      </c>
      <c r="C893" s="628"/>
      <c r="D893" s="628"/>
      <c r="E893" s="628"/>
      <c r="F893" s="628"/>
      <c r="G893" s="628"/>
      <c r="H893" s="628"/>
      <c r="I893" s="90">
        <f>SUM(I892:I892)</f>
        <v>0</v>
      </c>
    </row>
    <row r="894" spans="1:9" s="127" customFormat="1" ht="30" customHeight="1">
      <c r="B894" s="626" t="s">
        <v>72</v>
      </c>
      <c r="C894" s="626"/>
      <c r="D894" s="626"/>
      <c r="E894" s="626"/>
      <c r="F894" s="626"/>
      <c r="G894" s="626"/>
      <c r="H894" s="626"/>
      <c r="I894" s="626"/>
    </row>
    <row r="895" spans="1:9" ht="15.95" customHeight="1">
      <c r="B895" s="45" t="s">
        <v>59</v>
      </c>
      <c r="C895" s="71" t="s">
        <v>5</v>
      </c>
      <c r="D895" s="47" t="s">
        <v>6</v>
      </c>
      <c r="E895" s="46"/>
      <c r="F895" s="46"/>
      <c r="G895" s="46"/>
      <c r="H895" s="47" t="s">
        <v>71</v>
      </c>
      <c r="I895" s="90" t="s">
        <v>65</v>
      </c>
    </row>
    <row r="896" spans="1:9" ht="15.95" customHeight="1">
      <c r="B896" s="48"/>
      <c r="C896" s="47"/>
      <c r="D896" s="47"/>
      <c r="E896" s="46"/>
      <c r="F896" s="46"/>
      <c r="G896" s="46"/>
      <c r="H896" s="47"/>
      <c r="I896" s="90">
        <f>D896*H896</f>
        <v>0</v>
      </c>
    </row>
    <row r="897" spans="2:9" ht="15.95" customHeight="1">
      <c r="B897" s="628" t="s">
        <v>69</v>
      </c>
      <c r="C897" s="628"/>
      <c r="D897" s="628"/>
      <c r="E897" s="628"/>
      <c r="F897" s="628"/>
      <c r="G897" s="628"/>
      <c r="H897" s="628"/>
      <c r="I897" s="90">
        <f>SUM(I896:I896)</f>
        <v>0</v>
      </c>
    </row>
    <row r="898" spans="2:9" s="127" customFormat="1" ht="30" customHeight="1">
      <c r="B898" s="626" t="s">
        <v>74</v>
      </c>
      <c r="C898" s="626"/>
      <c r="D898" s="626"/>
      <c r="E898" s="626"/>
      <c r="F898" s="626"/>
      <c r="G898" s="626"/>
      <c r="H898" s="626"/>
      <c r="I898" s="626"/>
    </row>
    <row r="899" spans="2:9" ht="15.95" customHeight="1">
      <c r="B899" s="179" t="s">
        <v>59</v>
      </c>
      <c r="C899" s="180" t="s">
        <v>5</v>
      </c>
      <c r="D899" s="144" t="s">
        <v>6</v>
      </c>
      <c r="E899" s="46"/>
      <c r="F899" s="46"/>
      <c r="G899" s="46"/>
      <c r="H899" s="47" t="s">
        <v>71</v>
      </c>
      <c r="I899" s="90" t="s">
        <v>65</v>
      </c>
    </row>
    <row r="900" spans="2:9" ht="15.95" customHeight="1">
      <c r="B900" s="99" t="s">
        <v>95</v>
      </c>
      <c r="C900" s="83" t="s">
        <v>67</v>
      </c>
      <c r="D900" s="49">
        <v>2</v>
      </c>
      <c r="E900" s="59"/>
      <c r="F900" s="59"/>
      <c r="G900" s="59"/>
      <c r="H900" s="56">
        <f>INSUMOS!E11</f>
        <v>46.77</v>
      </c>
      <c r="I900" s="87">
        <f>H900*D900</f>
        <v>93.54</v>
      </c>
    </row>
    <row r="901" spans="2:9" ht="15.95" customHeight="1">
      <c r="B901" s="635" t="s">
        <v>576</v>
      </c>
      <c r="C901" s="635"/>
      <c r="D901" s="635"/>
      <c r="E901" s="635"/>
      <c r="F901" s="635"/>
      <c r="G901" s="635"/>
      <c r="H901" s="635"/>
      <c r="I901" s="90">
        <f>SUM(I900:I900)*0.9103</f>
        <v>85.15</v>
      </c>
    </row>
    <row r="902" spans="2:9" ht="15.95" customHeight="1">
      <c r="B902" s="628" t="s">
        <v>69</v>
      </c>
      <c r="C902" s="628"/>
      <c r="D902" s="628"/>
      <c r="E902" s="628"/>
      <c r="F902" s="628"/>
      <c r="G902" s="628"/>
      <c r="H902" s="628"/>
      <c r="I902" s="95">
        <f>SUM(I900:I901)</f>
        <v>178.69</v>
      </c>
    </row>
    <row r="903" spans="2:9" ht="15.95" customHeight="1">
      <c r="B903" s="147" t="s">
        <v>76</v>
      </c>
      <c r="C903" s="148">
        <v>1</v>
      </c>
      <c r="D903" s="636" t="s">
        <v>77</v>
      </c>
      <c r="E903" s="637"/>
      <c r="F903" s="637"/>
      <c r="G903" s="637"/>
      <c r="H903" s="638"/>
      <c r="I903" s="95">
        <f>I889+I893+I897+I902</f>
        <v>448.69</v>
      </c>
    </row>
    <row r="904" spans="2:9" ht="15.95" customHeight="1">
      <c r="B904" s="632"/>
      <c r="C904" s="633"/>
      <c r="D904" s="633"/>
      <c r="E904" s="633"/>
      <c r="F904" s="633"/>
      <c r="G904" s="633"/>
      <c r="H904" s="634"/>
      <c r="I904" s="95">
        <f>I903/C903</f>
        <v>448.69</v>
      </c>
    </row>
    <row r="905" spans="2:9" ht="15.95" customHeight="1">
      <c r="B905" s="139" t="s">
        <v>334</v>
      </c>
      <c r="C905" s="145">
        <f>BDI!C37</f>
        <v>24.5</v>
      </c>
      <c r="D905" s="146" t="s">
        <v>269</v>
      </c>
      <c r="E905" s="136"/>
      <c r="F905" s="136"/>
      <c r="G905" s="136"/>
      <c r="H905" s="137"/>
      <c r="I905" s="90">
        <f>C905/100*I904</f>
        <v>109.93</v>
      </c>
    </row>
    <row r="906" spans="2:9" s="127" customFormat="1" ht="30" customHeight="1" thickBot="1">
      <c r="B906" s="627" t="s">
        <v>78</v>
      </c>
      <c r="C906" s="627"/>
      <c r="D906" s="627"/>
      <c r="E906" s="627"/>
      <c r="F906" s="627"/>
      <c r="G906" s="627"/>
      <c r="H906" s="627"/>
      <c r="I906" s="135">
        <f>SUM(I904:I905)</f>
        <v>558.62</v>
      </c>
    </row>
    <row r="907" spans="2:9">
      <c r="B907" s="98"/>
      <c r="C907" s="416"/>
      <c r="D907" s="416"/>
      <c r="E907" s="98"/>
      <c r="F907" s="98"/>
      <c r="G907" s="98"/>
      <c r="H907" s="98"/>
      <c r="I907" s="416"/>
    </row>
    <row r="908" spans="2:9">
      <c r="B908" s="98"/>
      <c r="C908" s="416"/>
      <c r="D908" s="416"/>
      <c r="E908" s="98"/>
      <c r="F908" s="98"/>
      <c r="G908" s="98"/>
      <c r="H908" s="98"/>
      <c r="I908" s="416"/>
    </row>
    <row r="909" spans="2:9">
      <c r="B909" s="98"/>
      <c r="C909" s="416"/>
      <c r="D909" s="416"/>
      <c r="E909" s="98"/>
      <c r="F909" s="98"/>
      <c r="G909" s="98"/>
      <c r="H909" s="98"/>
      <c r="I909" s="416"/>
    </row>
    <row r="910" spans="2:9">
      <c r="B910" s="98"/>
      <c r="C910" s="416"/>
      <c r="D910" s="416"/>
      <c r="E910" s="98"/>
      <c r="F910" s="98"/>
      <c r="G910" s="98"/>
      <c r="H910" s="98"/>
      <c r="I910" s="416"/>
    </row>
    <row r="911" spans="2:9">
      <c r="B911" s="98"/>
      <c r="C911" s="416"/>
      <c r="D911" s="416"/>
      <c r="E911" s="98"/>
      <c r="F911" s="98"/>
      <c r="G911" s="98"/>
      <c r="H911" s="98"/>
      <c r="I911" s="416"/>
    </row>
    <row r="912" spans="2:9" ht="13.5" thickBot="1"/>
    <row r="913" spans="1:11" ht="30" customHeight="1">
      <c r="B913" s="200" t="s">
        <v>55</v>
      </c>
      <c r="C913" s="474" t="str">
        <f>'Planilha Orçamentária'!B64</f>
        <v>4.1</v>
      </c>
      <c r="D913" s="639" t="s">
        <v>56</v>
      </c>
      <c r="E913" s="639"/>
      <c r="F913" s="639"/>
      <c r="G913" s="639"/>
      <c r="H913" s="639"/>
      <c r="I913" s="639"/>
    </row>
    <row r="914" spans="1:11" s="127" customFormat="1" ht="30" customHeight="1">
      <c r="B914" s="640" t="s">
        <v>332</v>
      </c>
      <c r="C914" s="641"/>
      <c r="D914" s="641"/>
      <c r="E914" s="641"/>
      <c r="F914" s="641"/>
      <c r="G914" s="642"/>
      <c r="H914" s="643" t="s">
        <v>700</v>
      </c>
      <c r="I914" s="644"/>
    </row>
    <row r="915" spans="1:11" ht="30" customHeight="1">
      <c r="B915" s="625" t="s">
        <v>336</v>
      </c>
      <c r="C915" s="625"/>
      <c r="D915" s="625"/>
      <c r="E915" s="625"/>
      <c r="F915" s="625"/>
      <c r="G915" s="625"/>
      <c r="H915" s="34" t="s">
        <v>57</v>
      </c>
      <c r="I915" s="126" t="s">
        <v>27</v>
      </c>
    </row>
    <row r="916" spans="1:11" ht="30" customHeight="1">
      <c r="B916" s="626" t="s">
        <v>58</v>
      </c>
      <c r="C916" s="626"/>
      <c r="D916" s="626"/>
      <c r="E916" s="626"/>
      <c r="F916" s="626"/>
      <c r="G916" s="626"/>
      <c r="H916" s="626"/>
      <c r="I916" s="626"/>
    </row>
    <row r="917" spans="1:11" ht="25.5">
      <c r="A917" s="93"/>
      <c r="B917" s="35" t="s">
        <v>59</v>
      </c>
      <c r="C917" s="172" t="s">
        <v>5</v>
      </c>
      <c r="D917" s="36" t="s">
        <v>6</v>
      </c>
      <c r="E917" s="36" t="s">
        <v>61</v>
      </c>
      <c r="F917" s="36" t="s">
        <v>62</v>
      </c>
      <c r="G917" s="36" t="s">
        <v>63</v>
      </c>
      <c r="H917" s="36" t="s">
        <v>64</v>
      </c>
      <c r="I917" s="37" t="s">
        <v>65</v>
      </c>
    </row>
    <row r="918" spans="1:11" ht="15.95" customHeight="1">
      <c r="B918" s="97"/>
      <c r="C918" s="39"/>
      <c r="D918" s="140"/>
      <c r="E918" s="40"/>
      <c r="F918" s="40"/>
      <c r="G918" s="40"/>
      <c r="H918" s="40"/>
      <c r="I918" s="43">
        <f>H918*D918</f>
        <v>0</v>
      </c>
    </row>
    <row r="919" spans="1:11" ht="15.95" customHeight="1">
      <c r="B919" s="628" t="s">
        <v>69</v>
      </c>
      <c r="C919" s="628"/>
      <c r="D919" s="628"/>
      <c r="E919" s="628"/>
      <c r="F919" s="628"/>
      <c r="G919" s="628"/>
      <c r="H919" s="628"/>
      <c r="I919" s="95">
        <f>SUM(I918:I918)</f>
        <v>0</v>
      </c>
    </row>
    <row r="920" spans="1:11" ht="30" customHeight="1">
      <c r="B920" s="626" t="s">
        <v>70</v>
      </c>
      <c r="C920" s="626"/>
      <c r="D920" s="626"/>
      <c r="E920" s="626"/>
      <c r="F920" s="626"/>
      <c r="G920" s="626"/>
      <c r="H920" s="626"/>
      <c r="I920" s="626"/>
    </row>
    <row r="921" spans="1:11" ht="15.95" customHeight="1">
      <c r="B921" s="96" t="s">
        <v>59</v>
      </c>
      <c r="C921" s="78" t="s">
        <v>5</v>
      </c>
      <c r="D921" s="40" t="s">
        <v>6</v>
      </c>
      <c r="E921" s="42"/>
      <c r="F921" s="42"/>
      <c r="G921" s="42"/>
      <c r="H921" s="40" t="s">
        <v>71</v>
      </c>
      <c r="I921" s="43" t="s">
        <v>65</v>
      </c>
    </row>
    <row r="922" spans="1:11" ht="15.95" customHeight="1">
      <c r="B922" s="84" t="s">
        <v>116</v>
      </c>
      <c r="C922" s="85" t="s">
        <v>88</v>
      </c>
      <c r="D922" s="86">
        <v>0.05</v>
      </c>
      <c r="E922" s="50"/>
      <c r="F922" s="50"/>
      <c r="G922" s="50"/>
      <c r="H922" s="56">
        <f>INSUMOS!E85</f>
        <v>26.58</v>
      </c>
      <c r="I922" s="87">
        <f>H922*D922</f>
        <v>1.33</v>
      </c>
    </row>
    <row r="923" spans="1:11" ht="15.95" customHeight="1">
      <c r="B923" s="84" t="s">
        <v>117</v>
      </c>
      <c r="C923" s="85" t="s">
        <v>27</v>
      </c>
      <c r="D923" s="86">
        <v>1</v>
      </c>
      <c r="E923" s="50"/>
      <c r="F923" s="50"/>
      <c r="G923" s="50"/>
      <c r="H923" s="56">
        <f>INSUMOS!E56</f>
        <v>17.73</v>
      </c>
      <c r="I923" s="87">
        <f>H923*D923</f>
        <v>17.73</v>
      </c>
      <c r="J923" s="101">
        <v>9875</v>
      </c>
      <c r="K923" s="33" t="s">
        <v>118</v>
      </c>
    </row>
    <row r="924" spans="1:11" ht="15.95" customHeight="1">
      <c r="B924" s="628" t="s">
        <v>69</v>
      </c>
      <c r="C924" s="628"/>
      <c r="D924" s="628"/>
      <c r="E924" s="628"/>
      <c r="F924" s="628"/>
      <c r="G924" s="628"/>
      <c r="H924" s="628"/>
      <c r="I924" s="90">
        <f>SUM(I922:I923)</f>
        <v>19.059999999999999</v>
      </c>
      <c r="J924" s="102"/>
    </row>
    <row r="925" spans="1:11" ht="15.95" customHeight="1">
      <c r="B925" s="626" t="s">
        <v>72</v>
      </c>
      <c r="C925" s="626"/>
      <c r="D925" s="626"/>
      <c r="E925" s="626"/>
      <c r="F925" s="626"/>
      <c r="G925" s="626"/>
      <c r="H925" s="626"/>
      <c r="I925" s="626"/>
    </row>
    <row r="926" spans="1:11" ht="30" customHeight="1">
      <c r="B926" s="45" t="s">
        <v>59</v>
      </c>
      <c r="C926" s="57" t="s">
        <v>5</v>
      </c>
      <c r="D926" s="47" t="s">
        <v>6</v>
      </c>
      <c r="E926" s="46"/>
      <c r="F926" s="46"/>
      <c r="G926" s="46"/>
      <c r="H926" s="47" t="s">
        <v>71</v>
      </c>
      <c r="I926" s="43" t="s">
        <v>65</v>
      </c>
    </row>
    <row r="927" spans="1:11" ht="15.95" customHeight="1">
      <c r="B927" s="38" t="s">
        <v>639</v>
      </c>
      <c r="C927" s="88" t="s">
        <v>27</v>
      </c>
      <c r="D927" s="522">
        <v>1</v>
      </c>
      <c r="E927" s="523"/>
      <c r="F927" s="523"/>
      <c r="G927" s="523"/>
      <c r="H927" s="56">
        <f>INSUMOS!E137</f>
        <v>0.08</v>
      </c>
      <c r="I927" s="90">
        <f>H927*D927</f>
        <v>0.08</v>
      </c>
    </row>
    <row r="928" spans="1:11" ht="15.95" customHeight="1">
      <c r="B928" s="628" t="s">
        <v>69</v>
      </c>
      <c r="C928" s="628"/>
      <c r="D928" s="628"/>
      <c r="E928" s="628"/>
      <c r="F928" s="628"/>
      <c r="G928" s="628"/>
      <c r="H928" s="628"/>
      <c r="I928" s="90">
        <f>SUM(I927:I927)</f>
        <v>0.08</v>
      </c>
    </row>
    <row r="929" spans="2:9" ht="15.95" customHeight="1">
      <c r="B929" s="626" t="s">
        <v>74</v>
      </c>
      <c r="C929" s="626"/>
      <c r="D929" s="626"/>
      <c r="E929" s="626"/>
      <c r="F929" s="626"/>
      <c r="G929" s="626"/>
      <c r="H929" s="626"/>
      <c r="I929" s="626"/>
    </row>
    <row r="930" spans="2:9" ht="30" customHeight="1">
      <c r="B930" s="96" t="s">
        <v>59</v>
      </c>
      <c r="C930" s="78" t="s">
        <v>5</v>
      </c>
      <c r="D930" s="110" t="s">
        <v>6</v>
      </c>
      <c r="E930" s="42"/>
      <c r="F930" s="42"/>
      <c r="G930" s="42"/>
      <c r="H930" s="40" t="s">
        <v>71</v>
      </c>
      <c r="I930" s="43" t="s">
        <v>65</v>
      </c>
    </row>
    <row r="931" spans="2:9" ht="15.95" customHeight="1">
      <c r="B931" s="53" t="s">
        <v>75</v>
      </c>
      <c r="C931" s="57" t="s">
        <v>67</v>
      </c>
      <c r="D931" s="40">
        <v>0.06</v>
      </c>
      <c r="E931" s="42"/>
      <c r="F931" s="42"/>
      <c r="G931" s="42"/>
      <c r="H931" s="52">
        <f>INSUMOS!E14</f>
        <v>3.42</v>
      </c>
      <c r="I931" s="43">
        <f>H931*D931</f>
        <v>0.21</v>
      </c>
    </row>
    <row r="932" spans="2:9" ht="15.95" customHeight="1">
      <c r="B932" s="91" t="s">
        <v>119</v>
      </c>
      <c r="C932" s="57" t="s">
        <v>67</v>
      </c>
      <c r="D932" s="40">
        <v>0.03</v>
      </c>
      <c r="E932" s="42"/>
      <c r="F932" s="42"/>
      <c r="G932" s="42"/>
      <c r="H932" s="52">
        <f>INSUMOS!E24</f>
        <v>4.55</v>
      </c>
      <c r="I932" s="43">
        <f>H932*D932</f>
        <v>0.14000000000000001</v>
      </c>
    </row>
    <row r="933" spans="2:9" ht="15.95" customHeight="1">
      <c r="B933" s="635" t="s">
        <v>576</v>
      </c>
      <c r="C933" s="635"/>
      <c r="D933" s="635"/>
      <c r="E933" s="635"/>
      <c r="F933" s="635"/>
      <c r="G933" s="635"/>
      <c r="H933" s="635"/>
      <c r="I933" s="90">
        <f>SUM(I931:I932)*0.9103</f>
        <v>0.32</v>
      </c>
    </row>
    <row r="934" spans="2:9" ht="15.95" customHeight="1">
      <c r="B934" s="628" t="s">
        <v>69</v>
      </c>
      <c r="C934" s="628"/>
      <c r="D934" s="628"/>
      <c r="E934" s="628"/>
      <c r="F934" s="628"/>
      <c r="G934" s="628"/>
      <c r="H934" s="628"/>
      <c r="I934" s="92">
        <f>SUM(I931:I933)</f>
        <v>0.67</v>
      </c>
    </row>
    <row r="935" spans="2:9" ht="15.95" customHeight="1">
      <c r="B935" s="147" t="s">
        <v>76</v>
      </c>
      <c r="C935" s="148">
        <v>1</v>
      </c>
      <c r="D935" s="636" t="s">
        <v>77</v>
      </c>
      <c r="E935" s="637"/>
      <c r="F935" s="637"/>
      <c r="G935" s="637"/>
      <c r="H935" s="638"/>
      <c r="I935" s="92">
        <f>I919+I924+I928+I934</f>
        <v>19.809999999999999</v>
      </c>
    </row>
    <row r="936" spans="2:9" ht="15.95" customHeight="1">
      <c r="B936" s="632"/>
      <c r="C936" s="633"/>
      <c r="D936" s="633"/>
      <c r="E936" s="633"/>
      <c r="F936" s="633"/>
      <c r="G936" s="633"/>
      <c r="H936" s="634"/>
      <c r="I936" s="92">
        <f>I935/C935</f>
        <v>19.809999999999999</v>
      </c>
    </row>
    <row r="937" spans="2:9" ht="15.95" customHeight="1">
      <c r="B937" s="139" t="s">
        <v>334</v>
      </c>
      <c r="C937" s="145">
        <f>BDI!C37</f>
        <v>24.5</v>
      </c>
      <c r="D937" s="146" t="s">
        <v>269</v>
      </c>
      <c r="E937" s="136"/>
      <c r="F937" s="136"/>
      <c r="G937" s="136"/>
      <c r="H937" s="137"/>
      <c r="I937" s="90">
        <f>C937/100*I936</f>
        <v>4.8499999999999996</v>
      </c>
    </row>
    <row r="938" spans="2:9" ht="15.95" customHeight="1" thickBot="1">
      <c r="B938" s="627" t="s">
        <v>78</v>
      </c>
      <c r="C938" s="627"/>
      <c r="D938" s="627"/>
      <c r="E938" s="627"/>
      <c r="F938" s="627"/>
      <c r="G938" s="627"/>
      <c r="H938" s="627"/>
      <c r="I938" s="135">
        <f>SUM(I936:I937)</f>
        <v>24.66</v>
      </c>
    </row>
    <row r="939" spans="2:9" ht="30" customHeight="1"/>
    <row r="944" spans="2:9" ht="13.5" thickBot="1"/>
    <row r="945" spans="1:9" ht="15.75">
      <c r="B945" s="414" t="s">
        <v>55</v>
      </c>
      <c r="C945" s="474" t="str">
        <f>'Planilha Orçamentária'!B65</f>
        <v>4.2</v>
      </c>
      <c r="D945" s="680" t="s">
        <v>56</v>
      </c>
      <c r="E945" s="680"/>
      <c r="F945" s="680"/>
      <c r="G945" s="680"/>
      <c r="H945" s="680"/>
      <c r="I945" s="681"/>
    </row>
    <row r="946" spans="1:9" ht="30" customHeight="1">
      <c r="B946" s="684" t="s">
        <v>332</v>
      </c>
      <c r="C946" s="685"/>
      <c r="D946" s="685"/>
      <c r="E946" s="685"/>
      <c r="F946" s="685"/>
      <c r="G946" s="686"/>
      <c r="H946" s="682" t="s">
        <v>700</v>
      </c>
      <c r="I946" s="683"/>
    </row>
    <row r="947" spans="1:9" s="127" customFormat="1" ht="30" customHeight="1">
      <c r="B947" s="708" t="s">
        <v>338</v>
      </c>
      <c r="C947" s="646"/>
      <c r="D947" s="646"/>
      <c r="E947" s="646"/>
      <c r="F947" s="646"/>
      <c r="G947" s="647"/>
      <c r="H947" s="34" t="s">
        <v>57</v>
      </c>
      <c r="I947" s="126" t="s">
        <v>379</v>
      </c>
    </row>
    <row r="948" spans="1:9" ht="30" customHeight="1">
      <c r="B948" s="629" t="s">
        <v>58</v>
      </c>
      <c r="C948" s="626"/>
      <c r="D948" s="626"/>
      <c r="E948" s="626"/>
      <c r="F948" s="626"/>
      <c r="G948" s="626"/>
      <c r="H948" s="626"/>
      <c r="I948" s="630"/>
    </row>
    <row r="949" spans="1:9" s="127" customFormat="1" ht="30" customHeight="1">
      <c r="B949" s="212" t="s">
        <v>59</v>
      </c>
      <c r="C949" s="172" t="s">
        <v>5</v>
      </c>
      <c r="D949" s="36" t="s">
        <v>6</v>
      </c>
      <c r="E949" s="36" t="s">
        <v>61</v>
      </c>
      <c r="F949" s="36" t="s">
        <v>62</v>
      </c>
      <c r="G949" s="36" t="s">
        <v>63</v>
      </c>
      <c r="H949" s="36" t="s">
        <v>64</v>
      </c>
      <c r="I949" s="213" t="s">
        <v>65</v>
      </c>
    </row>
    <row r="950" spans="1:9">
      <c r="A950" s="93"/>
      <c r="B950" s="214"/>
      <c r="C950" s="39"/>
      <c r="D950" s="140"/>
      <c r="E950" s="40"/>
      <c r="F950" s="40"/>
      <c r="G950" s="40"/>
      <c r="H950" s="40"/>
      <c r="I950" s="215">
        <f>H950*D950</f>
        <v>0</v>
      </c>
    </row>
    <row r="951" spans="1:9" ht="15.95" customHeight="1">
      <c r="B951" s="741" t="s">
        <v>69</v>
      </c>
      <c r="C951" s="742"/>
      <c r="D951" s="742"/>
      <c r="E951" s="742"/>
      <c r="F951" s="742"/>
      <c r="G951" s="742"/>
      <c r="H951" s="742"/>
      <c r="I951" s="216">
        <f>SUM(I950:I950)</f>
        <v>0</v>
      </c>
    </row>
    <row r="952" spans="1:9">
      <c r="B952" s="720" t="s">
        <v>70</v>
      </c>
      <c r="C952" s="721"/>
      <c r="D952" s="721"/>
      <c r="E952" s="721"/>
      <c r="F952" s="721"/>
      <c r="G952" s="721"/>
      <c r="H952" s="721"/>
      <c r="I952" s="722"/>
    </row>
    <row r="953" spans="1:9" s="127" customFormat="1" ht="30" customHeight="1">
      <c r="B953" s="226" t="s">
        <v>59</v>
      </c>
      <c r="C953" s="165" t="s">
        <v>5</v>
      </c>
      <c r="D953" s="145" t="s">
        <v>6</v>
      </c>
      <c r="E953" s="166"/>
      <c r="F953" s="166"/>
      <c r="G953" s="166"/>
      <c r="H953" s="145" t="s">
        <v>71</v>
      </c>
      <c r="I953" s="219" t="s">
        <v>65</v>
      </c>
    </row>
    <row r="954" spans="1:9" ht="15.95" customHeight="1">
      <c r="B954" s="330" t="s">
        <v>129</v>
      </c>
      <c r="C954" s="145" t="s">
        <v>379</v>
      </c>
      <c r="D954" s="145">
        <v>1</v>
      </c>
      <c r="E954" s="166"/>
      <c r="F954" s="166"/>
      <c r="G954" s="166"/>
      <c r="H954" s="167">
        <f>INSUMOS!E126</f>
        <v>60.68</v>
      </c>
      <c r="I954" s="219">
        <f t="shared" ref="I954:I965" si="0">H954*D954</f>
        <v>60.68</v>
      </c>
    </row>
    <row r="955" spans="1:9" ht="15.95" customHeight="1">
      <c r="B955" s="330" t="s">
        <v>130</v>
      </c>
      <c r="C955" s="145" t="s">
        <v>379</v>
      </c>
      <c r="D955" s="145">
        <v>1</v>
      </c>
      <c r="E955" s="166"/>
      <c r="F955" s="166"/>
      <c r="G955" s="166"/>
      <c r="H955" s="167">
        <f>INSUMOS!E127</f>
        <v>49.65</v>
      </c>
      <c r="I955" s="219">
        <f t="shared" si="0"/>
        <v>49.65</v>
      </c>
    </row>
    <row r="956" spans="1:9" ht="15.95" customHeight="1">
      <c r="B956" s="330" t="s">
        <v>601</v>
      </c>
      <c r="C956" s="145" t="s">
        <v>379</v>
      </c>
      <c r="D956" s="145">
        <v>2</v>
      </c>
      <c r="E956" s="166"/>
      <c r="F956" s="166"/>
      <c r="G956" s="166"/>
      <c r="H956" s="167">
        <f>INSUMOS!E128</f>
        <v>8.6999999999999993</v>
      </c>
      <c r="I956" s="219">
        <f t="shared" si="0"/>
        <v>17.399999999999999</v>
      </c>
    </row>
    <row r="957" spans="1:9" ht="15.95" customHeight="1">
      <c r="B957" s="330" t="s">
        <v>432</v>
      </c>
      <c r="C957" s="145" t="s">
        <v>379</v>
      </c>
      <c r="D957" s="145">
        <v>1</v>
      </c>
      <c r="E957" s="166"/>
      <c r="F957" s="166"/>
      <c r="G957" s="166"/>
      <c r="H957" s="167">
        <f>INSUMOS!E130</f>
        <v>16.899999999999999</v>
      </c>
      <c r="I957" s="219">
        <f t="shared" si="0"/>
        <v>16.899999999999999</v>
      </c>
    </row>
    <row r="958" spans="1:9" ht="15.95" customHeight="1">
      <c r="B958" s="331" t="s">
        <v>132</v>
      </c>
      <c r="C958" s="145" t="s">
        <v>379</v>
      </c>
      <c r="D958" s="145">
        <v>8</v>
      </c>
      <c r="E958" s="166"/>
      <c r="F958" s="166"/>
      <c r="G958" s="166"/>
      <c r="H958" s="167">
        <f>INSUMOS!E129</f>
        <v>13.68</v>
      </c>
      <c r="I958" s="219">
        <f t="shared" si="0"/>
        <v>109.44</v>
      </c>
    </row>
    <row r="959" spans="1:9" ht="15.95" customHeight="1">
      <c r="B959" s="218" t="s">
        <v>133</v>
      </c>
      <c r="C959" s="145" t="s">
        <v>27</v>
      </c>
      <c r="D959" s="165">
        <v>20</v>
      </c>
      <c r="E959" s="166"/>
      <c r="F959" s="166"/>
      <c r="G959" s="166"/>
      <c r="H959" s="167">
        <f>INSUMOS!E48</f>
        <v>1.79</v>
      </c>
      <c r="I959" s="219">
        <f t="shared" si="0"/>
        <v>35.799999999999997</v>
      </c>
    </row>
    <row r="960" spans="1:9" ht="15.95" customHeight="1">
      <c r="B960" s="218" t="s">
        <v>134</v>
      </c>
      <c r="C960" s="145" t="s">
        <v>379</v>
      </c>
      <c r="D960" s="165">
        <v>4</v>
      </c>
      <c r="E960" s="166"/>
      <c r="F960" s="166"/>
      <c r="G960" s="166"/>
      <c r="H960" s="167">
        <f>INSUMOS!E50</f>
        <v>1.8</v>
      </c>
      <c r="I960" s="219">
        <f t="shared" si="0"/>
        <v>7.2</v>
      </c>
    </row>
    <row r="961" spans="2:12" ht="15.95" customHeight="1">
      <c r="B961" s="332" t="s">
        <v>428</v>
      </c>
      <c r="C961" s="145" t="s">
        <v>379</v>
      </c>
      <c r="D961" s="169">
        <v>3</v>
      </c>
      <c r="E961" s="170"/>
      <c r="F961" s="170"/>
      <c r="G961" s="170"/>
      <c r="H961" s="167">
        <f>INSUMOS!E125</f>
        <v>7.47</v>
      </c>
      <c r="I961" s="220">
        <f t="shared" si="0"/>
        <v>22.41</v>
      </c>
    </row>
    <row r="962" spans="2:12" ht="15.95" customHeight="1">
      <c r="B962" s="332" t="s">
        <v>135</v>
      </c>
      <c r="C962" s="168" t="s">
        <v>27</v>
      </c>
      <c r="D962" s="169">
        <v>6</v>
      </c>
      <c r="E962" s="170"/>
      <c r="F962" s="170"/>
      <c r="G962" s="170"/>
      <c r="H962" s="167">
        <f>INSUMOS!E105</f>
        <v>1.88</v>
      </c>
      <c r="I962" s="220">
        <f t="shared" si="0"/>
        <v>11.28</v>
      </c>
    </row>
    <row r="963" spans="2:12" ht="15.95" customHeight="1">
      <c r="B963" s="221" t="s">
        <v>136</v>
      </c>
      <c r="C963" s="145" t="s">
        <v>379</v>
      </c>
      <c r="D963" s="165">
        <v>0.08</v>
      </c>
      <c r="E963" s="166"/>
      <c r="F963" s="166"/>
      <c r="G963" s="166"/>
      <c r="H963" s="167">
        <f>INSUMOS!E51</f>
        <v>1379.34</v>
      </c>
      <c r="I963" s="220">
        <f t="shared" si="0"/>
        <v>110.35</v>
      </c>
    </row>
    <row r="964" spans="2:12" ht="15.95" customHeight="1">
      <c r="B964" s="221" t="s">
        <v>137</v>
      </c>
      <c r="C964" s="145" t="s">
        <v>379</v>
      </c>
      <c r="D964" s="165">
        <v>2</v>
      </c>
      <c r="E964" s="166"/>
      <c r="F964" s="166"/>
      <c r="G964" s="166"/>
      <c r="H964" s="167">
        <f>INSUMOS!E122</f>
        <v>2.4300000000000002</v>
      </c>
      <c r="I964" s="220">
        <f t="shared" si="0"/>
        <v>4.8600000000000003</v>
      </c>
    </row>
    <row r="965" spans="2:12" ht="15.95" customHeight="1">
      <c r="B965" s="222" t="s">
        <v>138</v>
      </c>
      <c r="C965" s="145" t="s">
        <v>379</v>
      </c>
      <c r="D965" s="169">
        <v>1</v>
      </c>
      <c r="E965" s="170"/>
      <c r="F965" s="170"/>
      <c r="G965" s="170"/>
      <c r="H965" s="167">
        <f>INSUMOS!E123</f>
        <v>9.89</v>
      </c>
      <c r="I965" s="220">
        <f t="shared" si="0"/>
        <v>9.89</v>
      </c>
    </row>
    <row r="966" spans="2:12" ht="15.95" customHeight="1">
      <c r="B966" s="223" t="s">
        <v>434</v>
      </c>
      <c r="C966" s="145" t="s">
        <v>379</v>
      </c>
      <c r="D966" s="165">
        <v>1</v>
      </c>
      <c r="E966" s="166"/>
      <c r="F966" s="166"/>
      <c r="G966" s="166"/>
      <c r="H966" s="167">
        <f>INSUMOS!E54</f>
        <v>2929.91</v>
      </c>
      <c r="I966" s="220">
        <f t="shared" ref="I966:I972" si="1">H966*D966</f>
        <v>2929.91</v>
      </c>
      <c r="J966" s="51"/>
    </row>
    <row r="967" spans="2:12">
      <c r="B967" s="223" t="s">
        <v>139</v>
      </c>
      <c r="C967" s="145" t="s">
        <v>379</v>
      </c>
      <c r="D967" s="165">
        <v>1</v>
      </c>
      <c r="E967" s="166"/>
      <c r="F967" s="166"/>
      <c r="G967" s="166"/>
      <c r="H967" s="167">
        <f>INSUMOS!E139</f>
        <v>57.24</v>
      </c>
      <c r="I967" s="219">
        <f t="shared" si="1"/>
        <v>57.24</v>
      </c>
      <c r="J967" s="101"/>
    </row>
    <row r="968" spans="2:12" ht="26.25" customHeight="1">
      <c r="B968" s="223" t="s">
        <v>427</v>
      </c>
      <c r="C968" s="145" t="s">
        <v>379</v>
      </c>
      <c r="D968" s="165">
        <v>1</v>
      </c>
      <c r="E968" s="166"/>
      <c r="F968" s="166"/>
      <c r="G968" s="166"/>
      <c r="H968" s="167">
        <f>INSUMOS!E140</f>
        <v>412</v>
      </c>
      <c r="I968" s="219">
        <f t="shared" si="1"/>
        <v>412</v>
      </c>
      <c r="J968" s="101"/>
    </row>
    <row r="969" spans="2:12" ht="27.75" customHeight="1">
      <c r="B969" s="265" t="s">
        <v>568</v>
      </c>
      <c r="C969" s="168" t="s">
        <v>27</v>
      </c>
      <c r="D969" s="169">
        <v>50</v>
      </c>
      <c r="E969" s="170"/>
      <c r="F969" s="170"/>
      <c r="G969" s="170"/>
      <c r="H969" s="167">
        <f>INSUMOS!E56</f>
        <v>17.73</v>
      </c>
      <c r="I969" s="220">
        <f t="shared" si="1"/>
        <v>886.5</v>
      </c>
      <c r="J969" s="101"/>
    </row>
    <row r="970" spans="2:12">
      <c r="B970" s="84" t="s">
        <v>559</v>
      </c>
      <c r="C970" s="145" t="s">
        <v>379</v>
      </c>
      <c r="D970" s="86">
        <v>1</v>
      </c>
      <c r="E970" s="50"/>
      <c r="F970" s="50"/>
      <c r="G970" s="50"/>
      <c r="H970" s="56">
        <f>INSUMOS!E70</f>
        <v>295.35000000000002</v>
      </c>
      <c r="I970" s="87">
        <f>H970*D970</f>
        <v>295.35000000000002</v>
      </c>
      <c r="J970" s="484"/>
      <c r="K970" s="485"/>
      <c r="L970" s="485"/>
    </row>
    <row r="971" spans="2:12" ht="15.95" customHeight="1">
      <c r="B971" s="224" t="s">
        <v>140</v>
      </c>
      <c r="C971" s="168" t="s">
        <v>27</v>
      </c>
      <c r="D971" s="169">
        <v>1</v>
      </c>
      <c r="E971" s="170"/>
      <c r="F971" s="170"/>
      <c r="G971" s="170"/>
      <c r="H971" s="167">
        <f>INSUMOS!E111</f>
        <v>44.38</v>
      </c>
      <c r="I971" s="220">
        <f t="shared" si="1"/>
        <v>44.38</v>
      </c>
    </row>
    <row r="972" spans="2:12" ht="15.95" customHeight="1">
      <c r="B972" s="225" t="s">
        <v>558</v>
      </c>
      <c r="C972" s="145" t="s">
        <v>379</v>
      </c>
      <c r="D972" s="165">
        <v>60</v>
      </c>
      <c r="E972" s="166"/>
      <c r="F972" s="166"/>
      <c r="G972" s="166"/>
      <c r="H972" s="167">
        <f>INSUMOS!E112</f>
        <v>3.45</v>
      </c>
      <c r="I972" s="219">
        <f t="shared" si="1"/>
        <v>207</v>
      </c>
      <c r="J972" s="484"/>
      <c r="K972" s="485"/>
      <c r="L972" s="485"/>
    </row>
    <row r="973" spans="2:12" ht="15.95" customHeight="1">
      <c r="B973" s="687" t="s">
        <v>69</v>
      </c>
      <c r="C973" s="688"/>
      <c r="D973" s="688"/>
      <c r="E973" s="688"/>
      <c r="F973" s="688"/>
      <c r="G973" s="688"/>
      <c r="H973" s="688"/>
      <c r="I973" s="219">
        <f>SUM(I954:I972)</f>
        <v>5288.24</v>
      </c>
    </row>
    <row r="974" spans="2:12" ht="15.95" customHeight="1">
      <c r="B974" s="720" t="s">
        <v>72</v>
      </c>
      <c r="C974" s="721"/>
      <c r="D974" s="721"/>
      <c r="E974" s="721"/>
      <c r="F974" s="721"/>
      <c r="G974" s="721"/>
      <c r="H974" s="721"/>
      <c r="I974" s="722"/>
    </row>
    <row r="975" spans="2:12" s="127" customFormat="1" ht="30" customHeight="1">
      <c r="B975" s="226" t="s">
        <v>59</v>
      </c>
      <c r="C975" s="163" t="s">
        <v>5</v>
      </c>
      <c r="D975" s="145" t="s">
        <v>6</v>
      </c>
      <c r="E975" s="166"/>
      <c r="F975" s="166"/>
      <c r="G975" s="166"/>
      <c r="H975" s="145" t="s">
        <v>71</v>
      </c>
      <c r="I975" s="217" t="s">
        <v>65</v>
      </c>
    </row>
    <row r="976" spans="2:12">
      <c r="B976" s="227"/>
      <c r="C976" s="145"/>
      <c r="D976" s="145"/>
      <c r="E976" s="166"/>
      <c r="F976" s="166"/>
      <c r="G976" s="166"/>
      <c r="H976" s="145"/>
      <c r="I976" s="219">
        <f>D976*H976</f>
        <v>0</v>
      </c>
    </row>
    <row r="977" spans="2:9">
      <c r="B977" s="723" t="s">
        <v>69</v>
      </c>
      <c r="C977" s="665"/>
      <c r="D977" s="665"/>
      <c r="E977" s="665"/>
      <c r="F977" s="665"/>
      <c r="G977" s="665"/>
      <c r="H977" s="665"/>
      <c r="I977" s="228">
        <f>SUM(I976:I976)</f>
        <v>0</v>
      </c>
    </row>
    <row r="978" spans="2:9">
      <c r="B978" s="629" t="s">
        <v>74</v>
      </c>
      <c r="C978" s="626"/>
      <c r="D978" s="626"/>
      <c r="E978" s="626"/>
      <c r="F978" s="626"/>
      <c r="G978" s="626"/>
      <c r="H978" s="626"/>
      <c r="I978" s="630"/>
    </row>
    <row r="979" spans="2:9" s="127" customFormat="1" ht="30" customHeight="1">
      <c r="B979" s="229" t="s">
        <v>59</v>
      </c>
      <c r="C979" s="78" t="s">
        <v>5</v>
      </c>
      <c r="D979" s="110" t="s">
        <v>6</v>
      </c>
      <c r="E979" s="42"/>
      <c r="F979" s="42"/>
      <c r="G979" s="42"/>
      <c r="H979" s="40" t="s">
        <v>71</v>
      </c>
      <c r="I979" s="215" t="s">
        <v>65</v>
      </c>
    </row>
    <row r="980" spans="2:9" ht="15.95" customHeight="1">
      <c r="B980" s="230" t="s">
        <v>75</v>
      </c>
      <c r="C980" s="71" t="s">
        <v>67</v>
      </c>
      <c r="D980" s="47">
        <v>8</v>
      </c>
      <c r="E980" s="46"/>
      <c r="F980" s="46"/>
      <c r="G980" s="46"/>
      <c r="H980" s="56">
        <f>INSUMOS!E14</f>
        <v>3.42</v>
      </c>
      <c r="I980" s="232">
        <f>H980*D980</f>
        <v>27.36</v>
      </c>
    </row>
    <row r="981" spans="2:9" ht="15.95" customHeight="1">
      <c r="B981" s="231" t="s">
        <v>141</v>
      </c>
      <c r="C981" s="71" t="s">
        <v>67</v>
      </c>
      <c r="D981" s="47">
        <v>2</v>
      </c>
      <c r="E981" s="46"/>
      <c r="F981" s="46"/>
      <c r="G981" s="46"/>
      <c r="H981" s="56">
        <f>INSUMOS!E21</f>
        <v>4.55</v>
      </c>
      <c r="I981" s="232">
        <f>H981*D981</f>
        <v>9.1</v>
      </c>
    </row>
    <row r="982" spans="2:9" ht="15.95" customHeight="1">
      <c r="B982" s="231" t="s">
        <v>119</v>
      </c>
      <c r="C982" s="71" t="s">
        <v>67</v>
      </c>
      <c r="D982" s="47">
        <v>3</v>
      </c>
      <c r="E982" s="46"/>
      <c r="F982" s="46"/>
      <c r="G982" s="46"/>
      <c r="H982" s="56">
        <f>INSUMOS!E24</f>
        <v>4.55</v>
      </c>
      <c r="I982" s="232">
        <f>H982*D982</f>
        <v>13.65</v>
      </c>
    </row>
    <row r="983" spans="2:9" ht="15.95" customHeight="1">
      <c r="B983" s="635" t="s">
        <v>576</v>
      </c>
      <c r="C983" s="635"/>
      <c r="D983" s="635"/>
      <c r="E983" s="635"/>
      <c r="F983" s="635"/>
      <c r="G983" s="635"/>
      <c r="H983" s="635"/>
      <c r="I983" s="232">
        <f>SUM(I980:I982)*0.9103</f>
        <v>45.62</v>
      </c>
    </row>
    <row r="984" spans="2:9" ht="15.95" customHeight="1">
      <c r="B984" s="631" t="s">
        <v>69</v>
      </c>
      <c r="C984" s="628"/>
      <c r="D984" s="628"/>
      <c r="E984" s="628"/>
      <c r="F984" s="628"/>
      <c r="G984" s="628"/>
      <c r="H984" s="628"/>
      <c r="I984" s="228">
        <f>SUM(I980:I983)</f>
        <v>95.73</v>
      </c>
    </row>
    <row r="985" spans="2:9" ht="15.95" customHeight="1">
      <c r="B985" s="234" t="s">
        <v>76</v>
      </c>
      <c r="C985" s="148">
        <v>1</v>
      </c>
      <c r="D985" s="636" t="s">
        <v>77</v>
      </c>
      <c r="E985" s="637"/>
      <c r="F985" s="637"/>
      <c r="G985" s="637"/>
      <c r="H985" s="638"/>
      <c r="I985" s="228">
        <f>I951+I973+I977+I984</f>
        <v>5383.97</v>
      </c>
    </row>
    <row r="986" spans="2:9" ht="15.95" customHeight="1">
      <c r="B986" s="668"/>
      <c r="C986" s="633"/>
      <c r="D986" s="633"/>
      <c r="E986" s="633"/>
      <c r="F986" s="633"/>
      <c r="G986" s="633"/>
      <c r="H986" s="634"/>
      <c r="I986" s="228">
        <f>I985/C985</f>
        <v>5383.97</v>
      </c>
    </row>
    <row r="987" spans="2:9" ht="15.95" customHeight="1">
      <c r="B987" s="235" t="s">
        <v>334</v>
      </c>
      <c r="C987" s="145">
        <f>BDI!C37</f>
        <v>24.5</v>
      </c>
      <c r="D987" s="146" t="s">
        <v>269</v>
      </c>
      <c r="E987" s="136"/>
      <c r="F987" s="136"/>
      <c r="G987" s="136"/>
      <c r="H987" s="137"/>
      <c r="I987" s="232">
        <f>C987/100*I986</f>
        <v>1319.07</v>
      </c>
    </row>
    <row r="988" spans="2:9" ht="15.95" customHeight="1" thickBot="1">
      <c r="B988" s="671" t="s">
        <v>78</v>
      </c>
      <c r="C988" s="672"/>
      <c r="D988" s="672"/>
      <c r="E988" s="672"/>
      <c r="F988" s="672"/>
      <c r="G988" s="672"/>
      <c r="H988" s="672"/>
      <c r="I988" s="135">
        <f>SUM(I986:I987)</f>
        <v>6703.04</v>
      </c>
    </row>
    <row r="989" spans="2:9" s="127" customFormat="1" ht="30" customHeight="1">
      <c r="B989" s="33"/>
      <c r="C989" s="130"/>
      <c r="D989" s="130"/>
      <c r="E989" s="33"/>
      <c r="F989" s="33"/>
      <c r="G989" s="33"/>
      <c r="H989" s="33"/>
      <c r="I989" s="130"/>
    </row>
    <row r="995" spans="1:10" ht="13.5" thickBot="1"/>
    <row r="996" spans="1:10" ht="15.75">
      <c r="B996" s="200" t="s">
        <v>55</v>
      </c>
      <c r="C996" s="474" t="str">
        <f>'Planilha Orçamentária'!B67</f>
        <v>4.4</v>
      </c>
      <c r="D996" s="639" t="s">
        <v>56</v>
      </c>
      <c r="E996" s="639"/>
      <c r="F996" s="639"/>
      <c r="G996" s="639"/>
      <c r="H996" s="639"/>
      <c r="I996" s="639"/>
    </row>
    <row r="997" spans="1:10" s="127" customFormat="1" ht="30" customHeight="1">
      <c r="B997" s="640" t="s">
        <v>332</v>
      </c>
      <c r="C997" s="641"/>
      <c r="D997" s="641"/>
      <c r="E997" s="641"/>
      <c r="F997" s="641"/>
      <c r="G997" s="642"/>
      <c r="H997" s="643" t="s">
        <v>700</v>
      </c>
      <c r="I997" s="644"/>
    </row>
    <row r="998" spans="1:10" s="127" customFormat="1" ht="30" customHeight="1">
      <c r="B998" s="625" t="s">
        <v>113</v>
      </c>
      <c r="C998" s="625"/>
      <c r="D998" s="625"/>
      <c r="E998" s="625"/>
      <c r="F998" s="625"/>
      <c r="G998" s="625"/>
      <c r="H998" s="34" t="s">
        <v>57</v>
      </c>
      <c r="I998" s="126" t="s">
        <v>32</v>
      </c>
    </row>
    <row r="999" spans="1:10" s="127" customFormat="1" ht="30" customHeight="1">
      <c r="B999" s="626" t="s">
        <v>58</v>
      </c>
      <c r="C999" s="626"/>
      <c r="D999" s="626"/>
      <c r="E999" s="626"/>
      <c r="F999" s="626"/>
      <c r="G999" s="626"/>
      <c r="H999" s="626"/>
      <c r="I999" s="626"/>
      <c r="J999" s="127" t="s">
        <v>342</v>
      </c>
    </row>
    <row r="1000" spans="1:10" s="127" customFormat="1" ht="30" customHeight="1">
      <c r="B1000" s="35" t="s">
        <v>59</v>
      </c>
      <c r="C1000" s="172" t="s">
        <v>5</v>
      </c>
      <c r="D1000" s="36" t="s">
        <v>6</v>
      </c>
      <c r="E1000" s="36" t="s">
        <v>61</v>
      </c>
      <c r="F1000" s="36" t="s">
        <v>62</v>
      </c>
      <c r="G1000" s="36" t="s">
        <v>63</v>
      </c>
      <c r="H1000" s="36" t="s">
        <v>64</v>
      </c>
      <c r="I1000" s="37" t="s">
        <v>65</v>
      </c>
    </row>
    <row r="1001" spans="1:10">
      <c r="A1001" s="93"/>
      <c r="B1001" s="97"/>
      <c r="C1001" s="39"/>
      <c r="D1001" s="140"/>
      <c r="E1001" s="40"/>
      <c r="F1001" s="40"/>
      <c r="G1001" s="40"/>
      <c r="H1001" s="40"/>
      <c r="I1001" s="43">
        <f>H1001*D1001</f>
        <v>0</v>
      </c>
    </row>
    <row r="1002" spans="1:10" ht="15.95" customHeight="1">
      <c r="B1002" s="628" t="s">
        <v>69</v>
      </c>
      <c r="C1002" s="628"/>
      <c r="D1002" s="628"/>
      <c r="E1002" s="628"/>
      <c r="F1002" s="628"/>
      <c r="G1002" s="628"/>
      <c r="H1002" s="628"/>
      <c r="I1002" s="95">
        <f>SUM(I1001:I1001)</f>
        <v>0</v>
      </c>
    </row>
    <row r="1003" spans="1:10" ht="15.95" customHeight="1">
      <c r="B1003" s="626" t="s">
        <v>70</v>
      </c>
      <c r="C1003" s="626"/>
      <c r="D1003" s="626"/>
      <c r="E1003" s="626"/>
      <c r="F1003" s="626"/>
      <c r="G1003" s="626"/>
      <c r="H1003" s="626"/>
      <c r="I1003" s="626"/>
    </row>
    <row r="1004" spans="1:10" s="127" customFormat="1" ht="30" customHeight="1">
      <c r="B1004" s="179" t="s">
        <v>59</v>
      </c>
      <c r="C1004" s="180" t="s">
        <v>5</v>
      </c>
      <c r="D1004" s="47" t="s">
        <v>6</v>
      </c>
      <c r="E1004" s="46"/>
      <c r="F1004" s="46"/>
      <c r="G1004" s="46"/>
      <c r="H1004" s="47" t="s">
        <v>71</v>
      </c>
      <c r="I1004" s="90" t="s">
        <v>65</v>
      </c>
    </row>
    <row r="1005" spans="1:10" ht="15.95" customHeight="1">
      <c r="B1005" s="97"/>
      <c r="C1005" s="88"/>
      <c r="D1005" s="89"/>
      <c r="E1005" s="46"/>
      <c r="F1005" s="46"/>
      <c r="G1005" s="46"/>
      <c r="H1005" s="47"/>
      <c r="I1005" s="90">
        <f>H1005*D1005</f>
        <v>0</v>
      </c>
    </row>
    <row r="1006" spans="1:10" ht="15.95" customHeight="1">
      <c r="B1006" s="628" t="s">
        <v>69</v>
      </c>
      <c r="C1006" s="628"/>
      <c r="D1006" s="628"/>
      <c r="E1006" s="628"/>
      <c r="F1006" s="628"/>
      <c r="G1006" s="628"/>
      <c r="H1006" s="628"/>
      <c r="I1006" s="90">
        <f>SUM(I1005:I1005)</f>
        <v>0</v>
      </c>
    </row>
    <row r="1007" spans="1:10" ht="15.95" customHeight="1">
      <c r="B1007" s="626" t="s">
        <v>72</v>
      </c>
      <c r="C1007" s="626"/>
      <c r="D1007" s="626"/>
      <c r="E1007" s="626"/>
      <c r="F1007" s="626"/>
      <c r="G1007" s="626"/>
      <c r="H1007" s="626"/>
      <c r="I1007" s="626"/>
    </row>
    <row r="1008" spans="1:10" s="127" customFormat="1" ht="30" customHeight="1">
      <c r="B1008" s="45" t="s">
        <v>59</v>
      </c>
      <c r="C1008" s="71" t="s">
        <v>5</v>
      </c>
      <c r="D1008" s="47" t="s">
        <v>6</v>
      </c>
      <c r="E1008" s="46"/>
      <c r="F1008" s="46"/>
      <c r="G1008" s="46"/>
      <c r="H1008" s="47" t="s">
        <v>71</v>
      </c>
      <c r="I1008" s="90" t="s">
        <v>65</v>
      </c>
    </row>
    <row r="1009" spans="2:10" ht="15.95" customHeight="1">
      <c r="B1009" s="84"/>
      <c r="C1009" s="47"/>
      <c r="D1009" s="47"/>
      <c r="E1009" s="46"/>
      <c r="F1009" s="46"/>
      <c r="G1009" s="46"/>
      <c r="H1009" s="47"/>
      <c r="I1009" s="90">
        <f>D1009*H1009</f>
        <v>0</v>
      </c>
    </row>
    <row r="1010" spans="2:10" ht="15.95" customHeight="1">
      <c r="B1010" s="628" t="s">
        <v>69</v>
      </c>
      <c r="C1010" s="628"/>
      <c r="D1010" s="628"/>
      <c r="E1010" s="628"/>
      <c r="F1010" s="628"/>
      <c r="G1010" s="628"/>
      <c r="H1010" s="628"/>
      <c r="I1010" s="90">
        <f>SUM(I1009:I1009)</f>
        <v>0</v>
      </c>
    </row>
    <row r="1011" spans="2:10" ht="15.95" customHeight="1">
      <c r="B1011" s="626" t="s">
        <v>74</v>
      </c>
      <c r="C1011" s="626"/>
      <c r="D1011" s="626"/>
      <c r="E1011" s="626"/>
      <c r="F1011" s="626"/>
      <c r="G1011" s="626"/>
      <c r="H1011" s="626"/>
      <c r="I1011" s="626"/>
    </row>
    <row r="1012" spans="2:10" s="127" customFormat="1" ht="30" customHeight="1">
      <c r="B1012" s="179" t="s">
        <v>59</v>
      </c>
      <c r="C1012" s="180" t="s">
        <v>5</v>
      </c>
      <c r="D1012" s="144" t="s">
        <v>6</v>
      </c>
      <c r="E1012" s="46"/>
      <c r="F1012" s="46"/>
      <c r="G1012" s="46"/>
      <c r="H1012" s="47" t="s">
        <v>71</v>
      </c>
      <c r="I1012" s="90" t="s">
        <v>65</v>
      </c>
    </row>
    <row r="1013" spans="2:10" ht="15.95" customHeight="1">
      <c r="B1013" s="53" t="s">
        <v>75</v>
      </c>
      <c r="C1013" s="71" t="s">
        <v>67</v>
      </c>
      <c r="D1013" s="47">
        <v>2.6</v>
      </c>
      <c r="E1013" s="46"/>
      <c r="F1013" s="46"/>
      <c r="G1013" s="46"/>
      <c r="H1013" s="56">
        <f>INSUMOS!E14</f>
        <v>3.42</v>
      </c>
      <c r="I1013" s="90">
        <f>H1013*D1013</f>
        <v>8.89</v>
      </c>
    </row>
    <row r="1014" spans="2:10" ht="15.95" customHeight="1">
      <c r="B1014" s="635" t="s">
        <v>576</v>
      </c>
      <c r="C1014" s="635"/>
      <c r="D1014" s="635"/>
      <c r="E1014" s="635"/>
      <c r="F1014" s="635"/>
      <c r="G1014" s="635"/>
      <c r="H1014" s="635"/>
      <c r="I1014" s="90">
        <f>SUM(I1013:I1013)*0.9103</f>
        <v>8.09</v>
      </c>
    </row>
    <row r="1015" spans="2:10" ht="15.95" customHeight="1">
      <c r="B1015" s="628" t="s">
        <v>69</v>
      </c>
      <c r="C1015" s="628"/>
      <c r="D1015" s="628"/>
      <c r="E1015" s="628"/>
      <c r="F1015" s="628"/>
      <c r="G1015" s="628"/>
      <c r="H1015" s="628"/>
      <c r="I1015" s="95">
        <f>SUM(I1013:I1014)</f>
        <v>16.98</v>
      </c>
    </row>
    <row r="1016" spans="2:10" ht="15.95" customHeight="1">
      <c r="B1016" s="147" t="s">
        <v>76</v>
      </c>
      <c r="C1016" s="148">
        <v>1</v>
      </c>
      <c r="D1016" s="636" t="s">
        <v>77</v>
      </c>
      <c r="E1016" s="637"/>
      <c r="F1016" s="637"/>
      <c r="G1016" s="637"/>
      <c r="H1016" s="638"/>
      <c r="I1016" s="95">
        <f>I1002+I1006+I1010+I1015</f>
        <v>16.98</v>
      </c>
    </row>
    <row r="1017" spans="2:10" ht="15.95" customHeight="1">
      <c r="B1017" s="632"/>
      <c r="C1017" s="633"/>
      <c r="D1017" s="633"/>
      <c r="E1017" s="633"/>
      <c r="F1017" s="633"/>
      <c r="G1017" s="633"/>
      <c r="H1017" s="634"/>
      <c r="I1017" s="95">
        <f>I1016/C1016</f>
        <v>16.98</v>
      </c>
    </row>
    <row r="1018" spans="2:10" ht="15.95" customHeight="1">
      <c r="B1018" s="139" t="s">
        <v>334</v>
      </c>
      <c r="C1018" s="145">
        <f>BDI!C37</f>
        <v>24.5</v>
      </c>
      <c r="D1018" s="146" t="s">
        <v>269</v>
      </c>
      <c r="E1018" s="136"/>
      <c r="F1018" s="136"/>
      <c r="G1018" s="136"/>
      <c r="H1018" s="137"/>
      <c r="I1018" s="90">
        <f>C1018/100*I1017</f>
        <v>4.16</v>
      </c>
      <c r="J1018" s="33">
        <v>20.99</v>
      </c>
    </row>
    <row r="1019" spans="2:10" ht="15.95" customHeight="1" thickBot="1">
      <c r="B1019" s="627" t="s">
        <v>78</v>
      </c>
      <c r="C1019" s="627"/>
      <c r="D1019" s="627"/>
      <c r="E1019" s="627"/>
      <c r="F1019" s="627"/>
      <c r="G1019" s="627"/>
      <c r="H1019" s="627"/>
      <c r="I1019" s="135">
        <f>SUM(I1017:I1018)</f>
        <v>21.14</v>
      </c>
    </row>
    <row r="1020" spans="2:10" s="127" customFormat="1" ht="30" customHeight="1">
      <c r="B1020" s="33"/>
      <c r="C1020" s="130"/>
      <c r="D1020" s="130"/>
      <c r="E1020" s="33"/>
      <c r="F1020" s="33"/>
      <c r="G1020" s="33"/>
      <c r="H1020" s="33"/>
      <c r="I1020" s="130"/>
    </row>
    <row r="1026" spans="1:9" ht="15.75">
      <c r="B1026" s="200" t="s">
        <v>55</v>
      </c>
      <c r="C1026" s="474" t="str">
        <f>'Planilha Orçamentária'!B68</f>
        <v>4.5</v>
      </c>
      <c r="D1026" s="639" t="s">
        <v>56</v>
      </c>
      <c r="E1026" s="639"/>
      <c r="F1026" s="639"/>
      <c r="G1026" s="639"/>
      <c r="H1026" s="639"/>
      <c r="I1026" s="639"/>
    </row>
    <row r="1027" spans="1:9" s="127" customFormat="1" ht="30" customHeight="1">
      <c r="B1027" s="655" t="s">
        <v>332</v>
      </c>
      <c r="C1027" s="656"/>
      <c r="D1027" s="656"/>
      <c r="E1027" s="656"/>
      <c r="F1027" s="656"/>
      <c r="G1027" s="657"/>
      <c r="H1027" s="643" t="s">
        <v>700</v>
      </c>
      <c r="I1027" s="644"/>
    </row>
    <row r="1028" spans="1:9" s="127" customFormat="1" ht="30" customHeight="1">
      <c r="B1028" s="625" t="s">
        <v>114</v>
      </c>
      <c r="C1028" s="625"/>
      <c r="D1028" s="625"/>
      <c r="E1028" s="625"/>
      <c r="F1028" s="625"/>
      <c r="G1028" s="625"/>
      <c r="H1028" s="34" t="s">
        <v>57</v>
      </c>
      <c r="I1028" s="126" t="s">
        <v>32</v>
      </c>
    </row>
    <row r="1029" spans="1:9" s="127" customFormat="1" ht="30" customHeight="1">
      <c r="B1029" s="626" t="s">
        <v>58</v>
      </c>
      <c r="C1029" s="626"/>
      <c r="D1029" s="626"/>
      <c r="E1029" s="626"/>
      <c r="F1029" s="626"/>
      <c r="G1029" s="626"/>
      <c r="H1029" s="626"/>
      <c r="I1029" s="626"/>
    </row>
    <row r="1030" spans="1:9" s="127" customFormat="1" ht="30" customHeight="1">
      <c r="B1030" s="35" t="s">
        <v>59</v>
      </c>
      <c r="C1030" s="172" t="s">
        <v>5</v>
      </c>
      <c r="D1030" s="36" t="s">
        <v>6</v>
      </c>
      <c r="E1030" s="36" t="s">
        <v>61</v>
      </c>
      <c r="F1030" s="36" t="s">
        <v>62</v>
      </c>
      <c r="G1030" s="36" t="s">
        <v>63</v>
      </c>
      <c r="H1030" s="36" t="s">
        <v>64</v>
      </c>
      <c r="I1030" s="37" t="s">
        <v>65</v>
      </c>
    </row>
    <row r="1031" spans="1:9">
      <c r="A1031" s="93"/>
      <c r="B1031" s="84" t="s">
        <v>115</v>
      </c>
      <c r="C1031" s="85" t="s">
        <v>67</v>
      </c>
      <c r="D1031" s="86">
        <v>3.07</v>
      </c>
      <c r="E1031" s="49"/>
      <c r="F1031" s="49"/>
      <c r="G1031" s="56">
        <f>INSUMOS!E153</f>
        <v>2.89</v>
      </c>
      <c r="H1031" s="49"/>
      <c r="I1031" s="87">
        <f>D1031*G1031</f>
        <v>8.8699999999999992</v>
      </c>
    </row>
    <row r="1032" spans="1:9" ht="15.95" customHeight="1">
      <c r="B1032" s="628" t="s">
        <v>69</v>
      </c>
      <c r="C1032" s="628"/>
      <c r="D1032" s="628"/>
      <c r="E1032" s="628"/>
      <c r="F1032" s="628"/>
      <c r="G1032" s="628"/>
      <c r="H1032" s="628"/>
      <c r="I1032" s="95">
        <f>SUM(I1031:I1031)</f>
        <v>8.8699999999999992</v>
      </c>
    </row>
    <row r="1033" spans="1:9" ht="15.95" customHeight="1">
      <c r="B1033" s="626" t="s">
        <v>70</v>
      </c>
      <c r="C1033" s="626"/>
      <c r="D1033" s="626"/>
      <c r="E1033" s="626"/>
      <c r="F1033" s="626"/>
      <c r="G1033" s="626"/>
      <c r="H1033" s="626"/>
      <c r="I1033" s="626"/>
    </row>
    <row r="1034" spans="1:9" s="127" customFormat="1" ht="30" customHeight="1">
      <c r="B1034" s="96" t="s">
        <v>59</v>
      </c>
      <c r="C1034" s="78" t="s">
        <v>5</v>
      </c>
      <c r="D1034" s="40" t="s">
        <v>6</v>
      </c>
      <c r="E1034" s="42"/>
      <c r="F1034" s="42"/>
      <c r="G1034" s="42"/>
      <c r="H1034" s="40" t="s">
        <v>71</v>
      </c>
      <c r="I1034" s="43" t="s">
        <v>65</v>
      </c>
    </row>
    <row r="1035" spans="1:9">
      <c r="B1035" s="38"/>
      <c r="C1035" s="88"/>
      <c r="D1035" s="89"/>
      <c r="E1035" s="46"/>
      <c r="F1035" s="46"/>
      <c r="G1035" s="46"/>
      <c r="H1035" s="47"/>
      <c r="I1035" s="90">
        <f>H1035*D1035</f>
        <v>0</v>
      </c>
    </row>
    <row r="1036" spans="1:9">
      <c r="B1036" s="628" t="s">
        <v>69</v>
      </c>
      <c r="C1036" s="628"/>
      <c r="D1036" s="628"/>
      <c r="E1036" s="628"/>
      <c r="F1036" s="628"/>
      <c r="G1036" s="628"/>
      <c r="H1036" s="628"/>
      <c r="I1036" s="90">
        <f>SUM(I1035:I1035)</f>
        <v>0</v>
      </c>
    </row>
    <row r="1037" spans="1:9">
      <c r="B1037" s="626" t="s">
        <v>72</v>
      </c>
      <c r="C1037" s="626"/>
      <c r="D1037" s="626"/>
      <c r="E1037" s="626"/>
      <c r="F1037" s="626"/>
      <c r="G1037" s="626"/>
      <c r="H1037" s="626"/>
      <c r="I1037" s="626"/>
    </row>
    <row r="1038" spans="1:9" s="127" customFormat="1" ht="30" customHeight="1">
      <c r="B1038" s="45" t="s">
        <v>59</v>
      </c>
      <c r="C1038" s="57" t="s">
        <v>5</v>
      </c>
      <c r="D1038" s="47" t="s">
        <v>6</v>
      </c>
      <c r="E1038" s="46"/>
      <c r="F1038" s="46"/>
      <c r="G1038" s="46"/>
      <c r="H1038" s="47" t="s">
        <v>71</v>
      </c>
      <c r="I1038" s="43" t="s">
        <v>65</v>
      </c>
    </row>
    <row r="1039" spans="1:9">
      <c r="B1039" s="84"/>
      <c r="C1039" s="47"/>
      <c r="D1039" s="47"/>
      <c r="E1039" s="46"/>
      <c r="F1039" s="46"/>
      <c r="G1039" s="46"/>
      <c r="H1039" s="47"/>
      <c r="I1039" s="90">
        <f>D1039*H1039</f>
        <v>0</v>
      </c>
    </row>
    <row r="1040" spans="1:9">
      <c r="B1040" s="628" t="s">
        <v>69</v>
      </c>
      <c r="C1040" s="628"/>
      <c r="D1040" s="628"/>
      <c r="E1040" s="628"/>
      <c r="F1040" s="628"/>
      <c r="G1040" s="628"/>
      <c r="H1040" s="628"/>
      <c r="I1040" s="90">
        <f>SUM(I1039:I1039)</f>
        <v>0</v>
      </c>
    </row>
    <row r="1041" spans="2:10">
      <c r="B1041" s="626" t="s">
        <v>74</v>
      </c>
      <c r="C1041" s="626"/>
      <c r="D1041" s="626"/>
      <c r="E1041" s="626"/>
      <c r="F1041" s="626"/>
      <c r="G1041" s="626"/>
      <c r="H1041" s="626"/>
      <c r="I1041" s="626"/>
    </row>
    <row r="1042" spans="2:10" s="127" customFormat="1" ht="30" customHeight="1">
      <c r="B1042" s="96" t="s">
        <v>59</v>
      </c>
      <c r="C1042" s="78" t="s">
        <v>5</v>
      </c>
      <c r="D1042" s="110" t="s">
        <v>6</v>
      </c>
      <c r="E1042" s="42"/>
      <c r="F1042" s="42"/>
      <c r="G1042" s="42"/>
      <c r="H1042" s="40" t="s">
        <v>71</v>
      </c>
      <c r="I1042" s="43" t="s">
        <v>65</v>
      </c>
    </row>
    <row r="1043" spans="2:10" ht="15.95" customHeight="1">
      <c r="B1043" s="53" t="s">
        <v>75</v>
      </c>
      <c r="C1043" s="71" t="s">
        <v>67</v>
      </c>
      <c r="D1043" s="47">
        <v>1</v>
      </c>
      <c r="E1043" s="46"/>
      <c r="F1043" s="46"/>
      <c r="G1043" s="46"/>
      <c r="H1043" s="56">
        <f>INSUMOS!E14</f>
        <v>3.42</v>
      </c>
      <c r="I1043" s="90">
        <f>H1043*D1043</f>
        <v>3.42</v>
      </c>
    </row>
    <row r="1044" spans="2:10" ht="15.95" customHeight="1">
      <c r="B1044" s="635" t="s">
        <v>576</v>
      </c>
      <c r="C1044" s="635"/>
      <c r="D1044" s="635"/>
      <c r="E1044" s="635"/>
      <c r="F1044" s="635"/>
      <c r="G1044" s="635"/>
      <c r="H1044" s="635"/>
      <c r="I1044" s="90">
        <f>SUM(I1043:I1043)*0.9103</f>
        <v>3.11</v>
      </c>
    </row>
    <row r="1045" spans="2:10" ht="15.95" customHeight="1">
      <c r="B1045" s="628" t="s">
        <v>69</v>
      </c>
      <c r="C1045" s="628"/>
      <c r="D1045" s="628"/>
      <c r="E1045" s="628"/>
      <c r="F1045" s="628"/>
      <c r="G1045" s="628"/>
      <c r="H1045" s="628"/>
      <c r="I1045" s="95">
        <f>SUM(I1043:I1044)</f>
        <v>6.53</v>
      </c>
    </row>
    <row r="1046" spans="2:10" ht="15.95" customHeight="1">
      <c r="B1046" s="147" t="s">
        <v>76</v>
      </c>
      <c r="C1046" s="148">
        <v>1</v>
      </c>
      <c r="D1046" s="636" t="s">
        <v>77</v>
      </c>
      <c r="E1046" s="637"/>
      <c r="F1046" s="637"/>
      <c r="G1046" s="637"/>
      <c r="H1046" s="638"/>
      <c r="I1046" s="95">
        <f>I1032+I1036+I1040+I1045</f>
        <v>15.4</v>
      </c>
    </row>
    <row r="1047" spans="2:10" ht="15.95" customHeight="1">
      <c r="B1047" s="632"/>
      <c r="C1047" s="633"/>
      <c r="D1047" s="633"/>
      <c r="E1047" s="633"/>
      <c r="F1047" s="633"/>
      <c r="G1047" s="633"/>
      <c r="H1047" s="634"/>
      <c r="I1047" s="95">
        <f>I1046/C1046</f>
        <v>15.4</v>
      </c>
    </row>
    <row r="1048" spans="2:10" ht="15.95" customHeight="1">
      <c r="B1048" s="139" t="s">
        <v>334</v>
      </c>
      <c r="C1048" s="145">
        <f>BDI!C37</f>
        <v>24.5</v>
      </c>
      <c r="D1048" s="146" t="s">
        <v>269</v>
      </c>
      <c r="E1048" s="136"/>
      <c r="F1048" s="136"/>
      <c r="G1048" s="136"/>
      <c r="H1048" s="137"/>
      <c r="I1048" s="90">
        <f>C1048/100*I1047</f>
        <v>3.77</v>
      </c>
      <c r="J1048" s="33">
        <v>16.3</v>
      </c>
    </row>
    <row r="1049" spans="2:10" ht="15.95" customHeight="1" thickBot="1">
      <c r="B1049" s="627" t="s">
        <v>78</v>
      </c>
      <c r="C1049" s="627"/>
      <c r="D1049" s="627"/>
      <c r="E1049" s="627"/>
      <c r="F1049" s="627"/>
      <c r="G1049" s="627"/>
      <c r="H1049" s="627"/>
      <c r="I1049" s="135">
        <f>SUM(I1047:I1048)</f>
        <v>19.170000000000002</v>
      </c>
    </row>
    <row r="1050" spans="2:10" s="127" customFormat="1" ht="30" customHeight="1">
      <c r="B1050" s="33"/>
      <c r="C1050" s="130"/>
      <c r="D1050" s="130"/>
      <c r="E1050" s="33"/>
      <c r="F1050" s="33"/>
      <c r="G1050" s="33"/>
      <c r="H1050" s="33"/>
      <c r="I1050" s="130"/>
    </row>
    <row r="1057" spans="1:10" ht="15.75">
      <c r="B1057" s="200" t="s">
        <v>55</v>
      </c>
      <c r="C1057" s="474" t="str">
        <f>'Planilha Orçamentária'!B71</f>
        <v>4.8</v>
      </c>
      <c r="D1057" s="639" t="s">
        <v>56</v>
      </c>
      <c r="E1057" s="639"/>
      <c r="F1057" s="639"/>
      <c r="G1057" s="639"/>
      <c r="H1057" s="639"/>
      <c r="I1057" s="639"/>
    </row>
    <row r="1058" spans="1:10" ht="30" customHeight="1">
      <c r="B1058" s="640" t="s">
        <v>332</v>
      </c>
      <c r="C1058" s="641"/>
      <c r="D1058" s="641"/>
      <c r="E1058" s="641"/>
      <c r="F1058" s="641"/>
      <c r="G1058" s="642"/>
      <c r="H1058" s="643" t="s">
        <v>700</v>
      </c>
      <c r="I1058" s="644"/>
    </row>
    <row r="1059" spans="1:10" s="127" customFormat="1" ht="30" customHeight="1">
      <c r="B1059" s="625" t="s">
        <v>120</v>
      </c>
      <c r="C1059" s="625"/>
      <c r="D1059" s="625"/>
      <c r="E1059" s="625"/>
      <c r="F1059" s="625"/>
      <c r="G1059" s="625"/>
      <c r="H1059" s="34" t="s">
        <v>57</v>
      </c>
      <c r="I1059" s="126" t="s">
        <v>27</v>
      </c>
    </row>
    <row r="1060" spans="1:10" s="127" customFormat="1" ht="30" customHeight="1">
      <c r="B1060" s="626" t="s">
        <v>58</v>
      </c>
      <c r="C1060" s="626"/>
      <c r="D1060" s="626"/>
      <c r="E1060" s="626"/>
      <c r="F1060" s="626"/>
      <c r="G1060" s="626"/>
      <c r="H1060" s="626"/>
      <c r="I1060" s="626"/>
    </row>
    <row r="1061" spans="1:10" s="127" customFormat="1" ht="30" customHeight="1">
      <c r="B1061" s="35" t="s">
        <v>59</v>
      </c>
      <c r="C1061" s="172" t="s">
        <v>5</v>
      </c>
      <c r="D1061" s="36" t="s">
        <v>6</v>
      </c>
      <c r="E1061" s="36" t="s">
        <v>61</v>
      </c>
      <c r="F1061" s="36" t="s">
        <v>62</v>
      </c>
      <c r="G1061" s="36" t="s">
        <v>63</v>
      </c>
      <c r="H1061" s="36" t="s">
        <v>64</v>
      </c>
      <c r="I1061" s="37" t="s">
        <v>65</v>
      </c>
    </row>
    <row r="1062" spans="1:10">
      <c r="A1062" s="93"/>
      <c r="B1062" s="97"/>
      <c r="C1062" s="39"/>
      <c r="D1062" s="140"/>
      <c r="E1062" s="40"/>
      <c r="F1062" s="40"/>
      <c r="G1062" s="40"/>
      <c r="H1062" s="40"/>
      <c r="I1062" s="90">
        <f>H1062*D1062</f>
        <v>0</v>
      </c>
    </row>
    <row r="1063" spans="1:10">
      <c r="B1063" s="628" t="s">
        <v>69</v>
      </c>
      <c r="C1063" s="628"/>
      <c r="D1063" s="628"/>
      <c r="E1063" s="628"/>
      <c r="F1063" s="628"/>
      <c r="G1063" s="628"/>
      <c r="H1063" s="628"/>
      <c r="I1063" s="95">
        <f>SUM(I1062:I1062)</f>
        <v>0</v>
      </c>
    </row>
    <row r="1064" spans="1:10">
      <c r="B1064" s="626" t="s">
        <v>70</v>
      </c>
      <c r="C1064" s="626"/>
      <c r="D1064" s="626"/>
      <c r="E1064" s="626"/>
      <c r="F1064" s="626"/>
      <c r="G1064" s="626"/>
      <c r="H1064" s="626"/>
      <c r="I1064" s="626"/>
    </row>
    <row r="1065" spans="1:10" s="127" customFormat="1" ht="30" customHeight="1">
      <c r="B1065" s="96" t="s">
        <v>59</v>
      </c>
      <c r="C1065" s="78" t="s">
        <v>5</v>
      </c>
      <c r="D1065" s="40" t="s">
        <v>6</v>
      </c>
      <c r="E1065" s="42"/>
      <c r="F1065" s="42"/>
      <c r="G1065" s="42"/>
      <c r="H1065" s="40" t="s">
        <v>71</v>
      </c>
      <c r="I1065" s="43" t="s">
        <v>65</v>
      </c>
    </row>
    <row r="1066" spans="1:10" ht="15.95" customHeight="1">
      <c r="B1066" s="84" t="s">
        <v>121</v>
      </c>
      <c r="C1066" s="85" t="s">
        <v>88</v>
      </c>
      <c r="D1066" s="86">
        <v>0.05</v>
      </c>
      <c r="E1066" s="50"/>
      <c r="F1066" s="50"/>
      <c r="G1066" s="50"/>
      <c r="H1066" s="56">
        <f>INSUMOS!E85</f>
        <v>26.58</v>
      </c>
      <c r="I1066" s="87">
        <f>H1066*D1066</f>
        <v>1.33</v>
      </c>
    </row>
    <row r="1067" spans="1:10" ht="15.95" customHeight="1">
      <c r="B1067" s="97" t="s">
        <v>122</v>
      </c>
      <c r="C1067" s="88" t="s">
        <v>27</v>
      </c>
      <c r="D1067" s="89">
        <v>1</v>
      </c>
      <c r="E1067" s="46"/>
      <c r="F1067" s="46"/>
      <c r="G1067" s="46"/>
      <c r="H1067" s="56">
        <f>INSUMOS!E36</f>
        <v>5.63</v>
      </c>
      <c r="I1067" s="90">
        <f>H1067*D1067</f>
        <v>5.63</v>
      </c>
    </row>
    <row r="1068" spans="1:10" ht="15.95" customHeight="1">
      <c r="B1068" s="38" t="s">
        <v>123</v>
      </c>
      <c r="C1068" s="145" t="s">
        <v>379</v>
      </c>
      <c r="D1068" s="89">
        <v>0.02</v>
      </c>
      <c r="E1068" s="46"/>
      <c r="F1068" s="46"/>
      <c r="G1068" s="46"/>
      <c r="H1068" s="56">
        <f>INSUMOS!E38</f>
        <v>31.47</v>
      </c>
      <c r="I1068" s="90">
        <f>H1068*D1068</f>
        <v>0.63</v>
      </c>
      <c r="J1068" s="102"/>
    </row>
    <row r="1069" spans="1:10" ht="15.95" customHeight="1">
      <c r="B1069" s="628" t="s">
        <v>69</v>
      </c>
      <c r="C1069" s="628"/>
      <c r="D1069" s="628"/>
      <c r="E1069" s="628"/>
      <c r="F1069" s="628"/>
      <c r="G1069" s="628"/>
      <c r="H1069" s="628"/>
      <c r="I1069" s="90">
        <f>SUM(I1066:I1068)</f>
        <v>7.59</v>
      </c>
    </row>
    <row r="1070" spans="1:10" ht="15.95" customHeight="1">
      <c r="B1070" s="626" t="s">
        <v>72</v>
      </c>
      <c r="C1070" s="626"/>
      <c r="D1070" s="626"/>
      <c r="E1070" s="626"/>
      <c r="F1070" s="626"/>
      <c r="G1070" s="626"/>
      <c r="H1070" s="626"/>
      <c r="I1070" s="626"/>
    </row>
    <row r="1071" spans="1:10" s="127" customFormat="1" ht="30" customHeight="1">
      <c r="B1071" s="45" t="s">
        <v>59</v>
      </c>
      <c r="C1071" s="57" t="s">
        <v>5</v>
      </c>
      <c r="D1071" s="47" t="s">
        <v>6</v>
      </c>
      <c r="E1071" s="46"/>
      <c r="F1071" s="46"/>
      <c r="G1071" s="46"/>
      <c r="H1071" s="47" t="s">
        <v>71</v>
      </c>
      <c r="I1071" s="43" t="s">
        <v>65</v>
      </c>
    </row>
    <row r="1072" spans="1:10">
      <c r="B1072" s="38" t="s">
        <v>640</v>
      </c>
      <c r="C1072" s="88" t="s">
        <v>27</v>
      </c>
      <c r="D1072" s="89">
        <v>1</v>
      </c>
      <c r="E1072" s="46"/>
      <c r="F1072" s="46"/>
      <c r="G1072" s="46"/>
      <c r="H1072" s="56">
        <f>INSUMOS!E138</f>
        <v>0.02</v>
      </c>
      <c r="I1072" s="90">
        <f>H1072*D1072</f>
        <v>0.02</v>
      </c>
    </row>
    <row r="1073" spans="2:12">
      <c r="B1073" s="628" t="s">
        <v>69</v>
      </c>
      <c r="C1073" s="628"/>
      <c r="D1073" s="628"/>
      <c r="E1073" s="628"/>
      <c r="F1073" s="628"/>
      <c r="G1073" s="628"/>
      <c r="H1073" s="628"/>
      <c r="I1073" s="90">
        <f>SUM(I1072)</f>
        <v>0.02</v>
      </c>
    </row>
    <row r="1074" spans="2:12">
      <c r="B1074" s="626" t="s">
        <v>74</v>
      </c>
      <c r="C1074" s="626"/>
      <c r="D1074" s="626"/>
      <c r="E1074" s="626"/>
      <c r="F1074" s="626"/>
      <c r="G1074" s="626"/>
      <c r="H1074" s="626"/>
      <c r="I1074" s="626"/>
    </row>
    <row r="1075" spans="2:12" s="127" customFormat="1" ht="30" customHeight="1">
      <c r="B1075" s="96" t="s">
        <v>59</v>
      </c>
      <c r="C1075" s="78" t="s">
        <v>5</v>
      </c>
      <c r="D1075" s="110" t="s">
        <v>6</v>
      </c>
      <c r="E1075" s="42"/>
      <c r="F1075" s="42"/>
      <c r="G1075" s="42"/>
      <c r="H1075" s="40" t="s">
        <v>71</v>
      </c>
      <c r="I1075" s="43" t="s">
        <v>65</v>
      </c>
    </row>
    <row r="1076" spans="2:12" ht="15.95" customHeight="1">
      <c r="B1076" s="53" t="s">
        <v>75</v>
      </c>
      <c r="C1076" s="71" t="s">
        <v>67</v>
      </c>
      <c r="D1076" s="47">
        <v>0.1</v>
      </c>
      <c r="E1076" s="46"/>
      <c r="F1076" s="46"/>
      <c r="G1076" s="46"/>
      <c r="H1076" s="56">
        <f>INSUMOS!E14</f>
        <v>3.42</v>
      </c>
      <c r="I1076" s="90">
        <f>H1076*D1076</f>
        <v>0.34</v>
      </c>
    </row>
    <row r="1077" spans="2:12" ht="15.95" customHeight="1">
      <c r="B1077" s="91" t="s">
        <v>119</v>
      </c>
      <c r="C1077" s="71" t="s">
        <v>67</v>
      </c>
      <c r="D1077" s="47">
        <v>0.1</v>
      </c>
      <c r="E1077" s="46"/>
      <c r="F1077" s="46"/>
      <c r="G1077" s="46"/>
      <c r="H1077" s="56">
        <f>INSUMOS!E24</f>
        <v>4.55</v>
      </c>
      <c r="I1077" s="90">
        <f>H1077*D1077</f>
        <v>0.46</v>
      </c>
    </row>
    <row r="1078" spans="2:12" ht="15.95" customHeight="1">
      <c r="B1078" s="635" t="s">
        <v>576</v>
      </c>
      <c r="C1078" s="635"/>
      <c r="D1078" s="635"/>
      <c r="E1078" s="635"/>
      <c r="F1078" s="635"/>
      <c r="G1078" s="635"/>
      <c r="H1078" s="635"/>
      <c r="I1078" s="90">
        <f>SUM(I1076:I1077)*0.9103</f>
        <v>0.73</v>
      </c>
    </row>
    <row r="1079" spans="2:12" ht="15.95" customHeight="1">
      <c r="B1079" s="628" t="s">
        <v>69</v>
      </c>
      <c r="C1079" s="628"/>
      <c r="D1079" s="628"/>
      <c r="E1079" s="628"/>
      <c r="F1079" s="628"/>
      <c r="G1079" s="628"/>
      <c r="H1079" s="628"/>
      <c r="I1079" s="95">
        <f>SUM(I1076:I1078)</f>
        <v>1.53</v>
      </c>
    </row>
    <row r="1080" spans="2:12" ht="15.95" customHeight="1">
      <c r="B1080" s="147" t="s">
        <v>76</v>
      </c>
      <c r="C1080" s="148">
        <v>1</v>
      </c>
      <c r="D1080" s="636" t="s">
        <v>77</v>
      </c>
      <c r="E1080" s="637"/>
      <c r="F1080" s="637"/>
      <c r="G1080" s="637"/>
      <c r="H1080" s="638"/>
      <c r="I1080" s="95">
        <f>I1063+I1069+I1073+I1079</f>
        <v>9.14</v>
      </c>
      <c r="L1080" s="130"/>
    </row>
    <row r="1081" spans="2:12" ht="15.95" customHeight="1">
      <c r="B1081" s="632"/>
      <c r="C1081" s="633"/>
      <c r="D1081" s="633"/>
      <c r="E1081" s="633"/>
      <c r="F1081" s="633"/>
      <c r="G1081" s="633"/>
      <c r="H1081" s="634"/>
      <c r="I1081" s="95">
        <f>I1080/C1080</f>
        <v>9.14</v>
      </c>
      <c r="J1081" s="33">
        <v>14.99</v>
      </c>
    </row>
    <row r="1082" spans="2:12" ht="15.95" customHeight="1">
      <c r="B1082" s="139" t="s">
        <v>334</v>
      </c>
      <c r="C1082" s="145">
        <f>BDI!C37</f>
        <v>24.5</v>
      </c>
      <c r="D1082" s="146" t="s">
        <v>269</v>
      </c>
      <c r="E1082" s="136"/>
      <c r="F1082" s="136"/>
      <c r="G1082" s="136"/>
      <c r="H1082" s="137"/>
      <c r="I1082" s="90">
        <f>C1082/100*I1081</f>
        <v>2.2400000000000002</v>
      </c>
    </row>
    <row r="1083" spans="2:12" ht="15.95" customHeight="1" thickBot="1">
      <c r="B1083" s="627" t="s">
        <v>78</v>
      </c>
      <c r="C1083" s="627"/>
      <c r="D1083" s="627"/>
      <c r="E1083" s="627"/>
      <c r="F1083" s="627"/>
      <c r="G1083" s="627"/>
      <c r="H1083" s="627"/>
      <c r="I1083" s="135">
        <f>SUM(I1081:I1082)</f>
        <v>11.38</v>
      </c>
    </row>
    <row r="1084" spans="2:12" s="127" customFormat="1" ht="30" customHeight="1">
      <c r="B1084" s="33"/>
      <c r="C1084" s="130"/>
      <c r="D1084" s="130"/>
      <c r="E1084" s="33"/>
      <c r="F1084" s="33"/>
      <c r="G1084" s="33"/>
      <c r="H1084" s="33"/>
      <c r="I1084" s="130"/>
    </row>
    <row r="1090" spans="1:10" ht="13.5" thickBot="1"/>
    <row r="1091" spans="1:10" ht="15.75">
      <c r="B1091" s="200" t="s">
        <v>55</v>
      </c>
      <c r="C1091" s="474" t="str">
        <f>'Planilha Orçamentária'!B72</f>
        <v>4.9</v>
      </c>
      <c r="D1091" s="639" t="s">
        <v>56</v>
      </c>
      <c r="E1091" s="639"/>
      <c r="F1091" s="639"/>
      <c r="G1091" s="639"/>
      <c r="H1091" s="639"/>
      <c r="I1091" s="639"/>
    </row>
    <row r="1092" spans="1:10" ht="30" customHeight="1">
      <c r="B1092" s="640" t="s">
        <v>332</v>
      </c>
      <c r="C1092" s="641"/>
      <c r="D1092" s="641"/>
      <c r="E1092" s="641"/>
      <c r="F1092" s="641"/>
      <c r="G1092" s="642"/>
      <c r="H1092" s="643" t="s">
        <v>700</v>
      </c>
      <c r="I1092" s="644"/>
    </row>
    <row r="1093" spans="1:10" s="127" customFormat="1" ht="30" customHeight="1">
      <c r="B1093" s="645" t="s">
        <v>696</v>
      </c>
      <c r="C1093" s="646"/>
      <c r="D1093" s="646"/>
      <c r="E1093" s="646"/>
      <c r="F1093" s="646"/>
      <c r="G1093" s="647"/>
      <c r="H1093" s="34" t="s">
        <v>57</v>
      </c>
      <c r="I1093" s="126" t="s">
        <v>379</v>
      </c>
    </row>
    <row r="1094" spans="1:10" ht="27" customHeight="1">
      <c r="B1094" s="626" t="s">
        <v>58</v>
      </c>
      <c r="C1094" s="626"/>
      <c r="D1094" s="626"/>
      <c r="E1094" s="626"/>
      <c r="F1094" s="626"/>
      <c r="G1094" s="626"/>
      <c r="H1094" s="626"/>
      <c r="I1094" s="626"/>
    </row>
    <row r="1095" spans="1:10" s="127" customFormat="1" ht="30" customHeight="1">
      <c r="B1095" s="35" t="s">
        <v>59</v>
      </c>
      <c r="C1095" s="172" t="s">
        <v>5</v>
      </c>
      <c r="D1095" s="36" t="s">
        <v>6</v>
      </c>
      <c r="E1095" s="36" t="s">
        <v>61</v>
      </c>
      <c r="F1095" s="36" t="s">
        <v>62</v>
      </c>
      <c r="G1095" s="36" t="s">
        <v>63</v>
      </c>
      <c r="H1095" s="36" t="s">
        <v>64</v>
      </c>
      <c r="I1095" s="37" t="s">
        <v>65</v>
      </c>
    </row>
    <row r="1096" spans="1:10">
      <c r="A1096" s="93"/>
      <c r="B1096" s="97"/>
      <c r="C1096" s="39"/>
      <c r="D1096" s="140"/>
      <c r="E1096" s="40"/>
      <c r="F1096" s="40"/>
      <c r="G1096" s="40"/>
      <c r="H1096" s="40"/>
      <c r="I1096" s="43">
        <f>H1096*D1096</f>
        <v>0</v>
      </c>
    </row>
    <row r="1097" spans="1:10">
      <c r="B1097" s="628" t="s">
        <v>69</v>
      </c>
      <c r="C1097" s="628"/>
      <c r="D1097" s="628"/>
      <c r="E1097" s="628"/>
      <c r="F1097" s="628"/>
      <c r="G1097" s="628"/>
      <c r="H1097" s="628"/>
      <c r="I1097" s="95">
        <f>SUM(I1096:I1096)</f>
        <v>0</v>
      </c>
    </row>
    <row r="1098" spans="1:10">
      <c r="B1098" s="626" t="s">
        <v>70</v>
      </c>
      <c r="C1098" s="626"/>
      <c r="D1098" s="626"/>
      <c r="E1098" s="626"/>
      <c r="F1098" s="626"/>
      <c r="G1098" s="626"/>
      <c r="H1098" s="626"/>
      <c r="I1098" s="626"/>
    </row>
    <row r="1099" spans="1:10" s="127" customFormat="1" ht="30" customHeight="1">
      <c r="B1099" s="96" t="s">
        <v>59</v>
      </c>
      <c r="C1099" s="180" t="s">
        <v>5</v>
      </c>
      <c r="D1099" s="40" t="s">
        <v>6</v>
      </c>
      <c r="E1099" s="42"/>
      <c r="F1099" s="42"/>
      <c r="G1099" s="42"/>
      <c r="H1099" s="40" t="s">
        <v>71</v>
      </c>
      <c r="I1099" s="43" t="s">
        <v>65</v>
      </c>
    </row>
    <row r="1100" spans="1:10" ht="15.95" customHeight="1">
      <c r="B1100" s="591" t="s">
        <v>693</v>
      </c>
      <c r="C1100" s="145" t="s">
        <v>379</v>
      </c>
      <c r="D1100" s="83">
        <v>1</v>
      </c>
      <c r="E1100" s="50"/>
      <c r="F1100" s="50"/>
      <c r="G1100" s="50"/>
      <c r="H1100" s="56">
        <f>INSUMOS!E103</f>
        <v>1032.8699999999999</v>
      </c>
      <c r="I1100" s="87">
        <f>H1100*D1100</f>
        <v>1032.8699999999999</v>
      </c>
    </row>
    <row r="1101" spans="1:10" ht="15.95" customHeight="1">
      <c r="B1101" s="171" t="s">
        <v>555</v>
      </c>
      <c r="C1101" s="47" t="s">
        <v>27</v>
      </c>
      <c r="D1101" s="71">
        <v>4</v>
      </c>
      <c r="E1101" s="46"/>
      <c r="F1101" s="46"/>
      <c r="G1101" s="46"/>
      <c r="H1101" s="56">
        <f>INSUMOS!E37</f>
        <v>9.7200000000000006</v>
      </c>
      <c r="I1101" s="90">
        <f>H1101*D1101</f>
        <v>38.880000000000003</v>
      </c>
      <c r="J1101" s="51"/>
    </row>
    <row r="1102" spans="1:10" ht="24.75" customHeight="1">
      <c r="B1102" s="171" t="s">
        <v>561</v>
      </c>
      <c r="C1102" s="145" t="s">
        <v>379</v>
      </c>
      <c r="D1102" s="415">
        <v>1</v>
      </c>
      <c r="E1102" s="236"/>
      <c r="F1102" s="236"/>
      <c r="G1102" s="236"/>
      <c r="H1102" s="237">
        <f>INSUMOS!E73</f>
        <v>19.829999999999998</v>
      </c>
      <c r="I1102" s="90">
        <f>H1102*D1102</f>
        <v>19.829999999999998</v>
      </c>
    </row>
    <row r="1103" spans="1:10" ht="33" customHeight="1">
      <c r="B1103" s="171" t="s">
        <v>562</v>
      </c>
      <c r="C1103" s="145" t="s">
        <v>379</v>
      </c>
      <c r="D1103" s="415">
        <v>4</v>
      </c>
      <c r="E1103" s="236"/>
      <c r="F1103" s="236"/>
      <c r="G1103" s="236"/>
      <c r="H1103" s="237">
        <f>INSUMOS!E74</f>
        <v>13.02</v>
      </c>
      <c r="I1103" s="90">
        <f>H1103*D1103</f>
        <v>52.08</v>
      </c>
    </row>
    <row r="1104" spans="1:10">
      <c r="B1104" s="38" t="s">
        <v>556</v>
      </c>
      <c r="C1104" s="85" t="s">
        <v>379</v>
      </c>
      <c r="D1104" s="71">
        <v>2</v>
      </c>
      <c r="E1104" s="46"/>
      <c r="F1104" s="46"/>
      <c r="G1104" s="46"/>
      <c r="H1104" s="56">
        <f>INSUMOS!E71</f>
        <v>7.3</v>
      </c>
      <c r="I1104" s="90">
        <f>H1104*D1104</f>
        <v>14.6</v>
      </c>
    </row>
    <row r="1105" spans="2:9" ht="15.95" customHeight="1">
      <c r="B1105" s="628" t="s">
        <v>69</v>
      </c>
      <c r="C1105" s="628"/>
      <c r="D1105" s="628"/>
      <c r="E1105" s="628"/>
      <c r="F1105" s="628"/>
      <c r="G1105" s="628"/>
      <c r="H1105" s="628"/>
      <c r="I1105" s="90">
        <f>SUM(I1100:I1101)</f>
        <v>1071.75</v>
      </c>
    </row>
    <row r="1106" spans="2:9" ht="15.95" customHeight="1">
      <c r="B1106" s="626" t="s">
        <v>72</v>
      </c>
      <c r="C1106" s="626"/>
      <c r="D1106" s="626"/>
      <c r="E1106" s="626"/>
      <c r="F1106" s="626"/>
      <c r="G1106" s="626"/>
      <c r="H1106" s="626"/>
      <c r="I1106" s="626"/>
    </row>
    <row r="1107" spans="2:9" s="127" customFormat="1" ht="30" customHeight="1">
      <c r="B1107" s="45" t="s">
        <v>59</v>
      </c>
      <c r="C1107" s="71" t="s">
        <v>5</v>
      </c>
      <c r="D1107" s="47" t="s">
        <v>6</v>
      </c>
      <c r="E1107" s="46"/>
      <c r="F1107" s="46"/>
      <c r="G1107" s="46"/>
      <c r="H1107" s="47" t="s">
        <v>71</v>
      </c>
      <c r="I1107" s="43" t="s">
        <v>65</v>
      </c>
    </row>
    <row r="1108" spans="2:9">
      <c r="B1108" s="84"/>
      <c r="C1108" s="47"/>
      <c r="D1108" s="47"/>
      <c r="E1108" s="46"/>
      <c r="F1108" s="46"/>
      <c r="G1108" s="46"/>
      <c r="H1108" s="47"/>
      <c r="I1108" s="90">
        <f>D1108*H1108</f>
        <v>0</v>
      </c>
    </row>
    <row r="1109" spans="2:9">
      <c r="B1109" s="628" t="s">
        <v>69</v>
      </c>
      <c r="C1109" s="628"/>
      <c r="D1109" s="628"/>
      <c r="E1109" s="628"/>
      <c r="F1109" s="628"/>
      <c r="G1109" s="628"/>
      <c r="H1109" s="628"/>
      <c r="I1109" s="90">
        <f>SUM(I1108:I1108)</f>
        <v>0</v>
      </c>
    </row>
    <row r="1110" spans="2:9">
      <c r="B1110" s="626" t="s">
        <v>74</v>
      </c>
      <c r="C1110" s="626"/>
      <c r="D1110" s="626"/>
      <c r="E1110" s="626"/>
      <c r="F1110" s="626"/>
      <c r="G1110" s="626"/>
      <c r="H1110" s="626"/>
      <c r="I1110" s="626"/>
    </row>
    <row r="1111" spans="2:9" s="127" customFormat="1" ht="30" customHeight="1">
      <c r="B1111" s="96" t="s">
        <v>59</v>
      </c>
      <c r="C1111" s="180" t="s">
        <v>5</v>
      </c>
      <c r="D1111" s="110" t="s">
        <v>6</v>
      </c>
      <c r="E1111" s="42"/>
      <c r="F1111" s="42"/>
      <c r="G1111" s="42"/>
      <c r="H1111" s="40" t="s">
        <v>71</v>
      </c>
      <c r="I1111" s="43" t="s">
        <v>65</v>
      </c>
    </row>
    <row r="1112" spans="2:9" ht="15.95" customHeight="1">
      <c r="B1112" s="53" t="s">
        <v>75</v>
      </c>
      <c r="C1112" s="71" t="s">
        <v>67</v>
      </c>
      <c r="D1112" s="47">
        <v>8</v>
      </c>
      <c r="E1112" s="46"/>
      <c r="F1112" s="46"/>
      <c r="G1112" s="46"/>
      <c r="H1112" s="56">
        <f>INSUMOS!E14</f>
        <v>3.42</v>
      </c>
      <c r="I1112" s="90">
        <f>H1112*D1112</f>
        <v>27.36</v>
      </c>
    </row>
    <row r="1113" spans="2:9" ht="15.95" customHeight="1">
      <c r="B1113" s="91" t="s">
        <v>119</v>
      </c>
      <c r="C1113" s="71" t="s">
        <v>67</v>
      </c>
      <c r="D1113" s="47">
        <v>8</v>
      </c>
      <c r="E1113" s="46"/>
      <c r="F1113" s="46"/>
      <c r="G1113" s="46"/>
      <c r="H1113" s="56">
        <f>INSUMOS!E24</f>
        <v>4.55</v>
      </c>
      <c r="I1113" s="90">
        <f>H1113*D1113</f>
        <v>36.4</v>
      </c>
    </row>
    <row r="1114" spans="2:9" ht="15.95" customHeight="1">
      <c r="B1114" s="635" t="s">
        <v>576</v>
      </c>
      <c r="C1114" s="635"/>
      <c r="D1114" s="635"/>
      <c r="E1114" s="635"/>
      <c r="F1114" s="635"/>
      <c r="G1114" s="635"/>
      <c r="H1114" s="635"/>
      <c r="I1114" s="90">
        <f>SUM(I1112:I1113)*0.9103</f>
        <v>58.04</v>
      </c>
    </row>
    <row r="1115" spans="2:9" ht="15.95" customHeight="1">
      <c r="B1115" s="628" t="s">
        <v>69</v>
      </c>
      <c r="C1115" s="628"/>
      <c r="D1115" s="628"/>
      <c r="E1115" s="628"/>
      <c r="F1115" s="628"/>
      <c r="G1115" s="628"/>
      <c r="H1115" s="628"/>
      <c r="I1115" s="95">
        <f>SUM(I1112:I1114)</f>
        <v>121.8</v>
      </c>
    </row>
    <row r="1116" spans="2:9" ht="15.95" customHeight="1">
      <c r="B1116" s="147" t="s">
        <v>76</v>
      </c>
      <c r="C1116" s="148">
        <v>1</v>
      </c>
      <c r="D1116" s="636" t="s">
        <v>77</v>
      </c>
      <c r="E1116" s="637"/>
      <c r="F1116" s="637"/>
      <c r="G1116" s="637"/>
      <c r="H1116" s="638"/>
      <c r="I1116" s="95">
        <f>I1097+I1105+I1109+I1115</f>
        <v>1193.55</v>
      </c>
    </row>
    <row r="1117" spans="2:9" ht="15.95" customHeight="1">
      <c r="B1117" s="632"/>
      <c r="C1117" s="633"/>
      <c r="D1117" s="633"/>
      <c r="E1117" s="633"/>
      <c r="F1117" s="633"/>
      <c r="G1117" s="633"/>
      <c r="H1117" s="634"/>
      <c r="I1117" s="95">
        <f>I1116/C1116</f>
        <v>1193.55</v>
      </c>
    </row>
    <row r="1118" spans="2:9" ht="15.95" customHeight="1">
      <c r="B1118" s="139" t="s">
        <v>334</v>
      </c>
      <c r="C1118" s="145">
        <f>BDI!C37</f>
        <v>24.5</v>
      </c>
      <c r="D1118" s="146" t="s">
        <v>269</v>
      </c>
      <c r="E1118" s="136"/>
      <c r="F1118" s="136"/>
      <c r="G1118" s="136"/>
      <c r="H1118" s="137"/>
      <c r="I1118" s="90">
        <f>C1118/100*I1117</f>
        <v>292.42</v>
      </c>
    </row>
    <row r="1119" spans="2:9" ht="15.95" customHeight="1" thickBot="1">
      <c r="B1119" s="627" t="s">
        <v>78</v>
      </c>
      <c r="C1119" s="627"/>
      <c r="D1119" s="627"/>
      <c r="E1119" s="627"/>
      <c r="F1119" s="627"/>
      <c r="G1119" s="627"/>
      <c r="H1119" s="627"/>
      <c r="I1119" s="135">
        <f>SUM(I1117:I1118)</f>
        <v>1485.97</v>
      </c>
    </row>
    <row r="1120" spans="2:9" ht="30" customHeight="1"/>
    <row r="1126" spans="1:11" ht="15.75">
      <c r="B1126" s="200" t="s">
        <v>55</v>
      </c>
      <c r="C1126" s="474" t="str">
        <f>'Planilha Orçamentária'!B73</f>
        <v>4.10</v>
      </c>
      <c r="D1126" s="639" t="s">
        <v>56</v>
      </c>
      <c r="E1126" s="639"/>
      <c r="F1126" s="639"/>
      <c r="G1126" s="639"/>
      <c r="H1126" s="639"/>
      <c r="I1126" s="639"/>
    </row>
    <row r="1127" spans="1:11" ht="30" customHeight="1">
      <c r="B1127" s="640" t="s">
        <v>332</v>
      </c>
      <c r="C1127" s="641"/>
      <c r="D1127" s="641"/>
      <c r="E1127" s="641"/>
      <c r="F1127" s="641"/>
      <c r="G1127" s="642"/>
      <c r="H1127" s="643" t="s">
        <v>700</v>
      </c>
      <c r="I1127" s="644"/>
    </row>
    <row r="1128" spans="1:11" s="127" customFormat="1" ht="30" customHeight="1">
      <c r="B1128" s="625" t="s">
        <v>566</v>
      </c>
      <c r="C1128" s="625"/>
      <c r="D1128" s="625"/>
      <c r="E1128" s="625"/>
      <c r="F1128" s="625"/>
      <c r="G1128" s="625"/>
      <c r="H1128" s="34" t="s">
        <v>57</v>
      </c>
      <c r="I1128" s="126" t="s">
        <v>27</v>
      </c>
    </row>
    <row r="1129" spans="1:11" ht="30" customHeight="1">
      <c r="B1129" s="626" t="s">
        <v>58</v>
      </c>
      <c r="C1129" s="626"/>
      <c r="D1129" s="626"/>
      <c r="E1129" s="626"/>
      <c r="F1129" s="626"/>
      <c r="G1129" s="626"/>
      <c r="H1129" s="626"/>
      <c r="I1129" s="626"/>
    </row>
    <row r="1130" spans="1:11" s="127" customFormat="1" ht="30" customHeight="1">
      <c r="B1130" s="35" t="s">
        <v>59</v>
      </c>
      <c r="C1130" s="172" t="s">
        <v>5</v>
      </c>
      <c r="D1130" s="36" t="s">
        <v>6</v>
      </c>
      <c r="E1130" s="36" t="s">
        <v>61</v>
      </c>
      <c r="F1130" s="36" t="s">
        <v>62</v>
      </c>
      <c r="G1130" s="36" t="s">
        <v>63</v>
      </c>
      <c r="H1130" s="36" t="s">
        <v>64</v>
      </c>
      <c r="I1130" s="37" t="s">
        <v>65</v>
      </c>
    </row>
    <row r="1131" spans="1:11">
      <c r="A1131" s="93"/>
      <c r="B1131" s="97"/>
      <c r="C1131" s="39"/>
      <c r="D1131" s="140"/>
      <c r="E1131" s="40"/>
      <c r="F1131" s="40"/>
      <c r="G1131" s="40"/>
      <c r="H1131" s="40"/>
      <c r="I1131" s="43">
        <f>H1131*D1131</f>
        <v>0</v>
      </c>
    </row>
    <row r="1132" spans="1:11" ht="15.95" customHeight="1">
      <c r="B1132" s="628" t="s">
        <v>69</v>
      </c>
      <c r="C1132" s="628"/>
      <c r="D1132" s="628"/>
      <c r="E1132" s="628"/>
      <c r="F1132" s="628"/>
      <c r="G1132" s="628"/>
      <c r="H1132" s="628"/>
      <c r="I1132" s="95">
        <f>SUM(I1131:I1131)</f>
        <v>0</v>
      </c>
    </row>
    <row r="1133" spans="1:11" ht="15.95" customHeight="1">
      <c r="B1133" s="626" t="s">
        <v>70</v>
      </c>
      <c r="C1133" s="626"/>
      <c r="D1133" s="626"/>
      <c r="E1133" s="626"/>
      <c r="F1133" s="626"/>
      <c r="G1133" s="626"/>
      <c r="H1133" s="626"/>
      <c r="I1133" s="626"/>
    </row>
    <row r="1134" spans="1:11" s="127" customFormat="1" ht="30" customHeight="1">
      <c r="B1134" s="96" t="s">
        <v>59</v>
      </c>
      <c r="C1134" s="180" t="s">
        <v>5</v>
      </c>
      <c r="D1134" s="40" t="s">
        <v>6</v>
      </c>
      <c r="E1134" s="42"/>
      <c r="F1134" s="42"/>
      <c r="G1134" s="42"/>
      <c r="H1134" s="40" t="s">
        <v>71</v>
      </c>
      <c r="I1134" s="43" t="s">
        <v>65</v>
      </c>
    </row>
    <row r="1135" spans="1:11" ht="28.5" customHeight="1">
      <c r="B1135" s="122" t="s">
        <v>142</v>
      </c>
      <c r="C1135" s="47" t="s">
        <v>32</v>
      </c>
      <c r="D1135" s="71">
        <v>7.0000000000000007E-2</v>
      </c>
      <c r="E1135" s="46"/>
      <c r="F1135" s="46"/>
      <c r="G1135" s="46"/>
      <c r="H1135" s="56">
        <f>INSUMOS!E63</f>
        <v>32.4</v>
      </c>
      <c r="I1135" s="90">
        <f>H1135*D1135</f>
        <v>2.27</v>
      </c>
    </row>
    <row r="1136" spans="1:11" ht="36" customHeight="1">
      <c r="B1136" s="122" t="s">
        <v>143</v>
      </c>
      <c r="C1136" s="85" t="s">
        <v>379</v>
      </c>
      <c r="D1136" s="71">
        <v>0.34</v>
      </c>
      <c r="E1136" s="46"/>
      <c r="F1136" s="46"/>
      <c r="G1136" s="46"/>
      <c r="H1136" s="56">
        <f>INSUMOS!E60</f>
        <v>33.32</v>
      </c>
      <c r="I1136" s="90">
        <f t="shared" ref="I1136:I1141" si="2">H1136*D1136</f>
        <v>11.33</v>
      </c>
      <c r="K1136" s="33">
        <v>4111</v>
      </c>
    </row>
    <row r="1137" spans="2:12" ht="22.5" customHeight="1">
      <c r="B1137" s="97" t="s">
        <v>144</v>
      </c>
      <c r="C1137" s="47" t="s">
        <v>27</v>
      </c>
      <c r="D1137" s="71">
        <v>10.28</v>
      </c>
      <c r="E1137" s="46"/>
      <c r="F1137" s="46"/>
      <c r="G1137" s="46"/>
      <c r="H1137" s="56">
        <f>INSUMOS!E64</f>
        <v>0.34</v>
      </c>
      <c r="I1137" s="90">
        <f t="shared" si="2"/>
        <v>3.5</v>
      </c>
      <c r="K1137" s="33">
        <v>4114</v>
      </c>
    </row>
    <row r="1138" spans="2:12" ht="15.95" customHeight="1">
      <c r="B1138" s="173" t="s">
        <v>145</v>
      </c>
      <c r="C1138" s="47" t="s">
        <v>27</v>
      </c>
      <c r="D1138" s="71">
        <v>0.11</v>
      </c>
      <c r="E1138" s="46"/>
      <c r="F1138" s="46"/>
      <c r="G1138" s="46"/>
      <c r="H1138" s="56">
        <f>INSUMOS!E65</f>
        <v>7.16</v>
      </c>
      <c r="I1138" s="90">
        <f t="shared" si="2"/>
        <v>0.79</v>
      </c>
      <c r="K1138" s="33">
        <v>340</v>
      </c>
      <c r="L1138" s="104"/>
    </row>
    <row r="1139" spans="2:12" ht="15.95" customHeight="1">
      <c r="B1139" s="103" t="s">
        <v>146</v>
      </c>
      <c r="C1139" s="47" t="s">
        <v>32</v>
      </c>
      <c r="D1139" s="71">
        <v>0.01</v>
      </c>
      <c r="E1139" s="46"/>
      <c r="F1139" s="46"/>
      <c r="G1139" s="47"/>
      <c r="H1139" s="56">
        <f>INSUMOS!E46</f>
        <v>70</v>
      </c>
      <c r="I1139" s="90">
        <f t="shared" si="2"/>
        <v>0.7</v>
      </c>
      <c r="K1139" s="33">
        <v>345</v>
      </c>
    </row>
    <row r="1140" spans="2:12" ht="15.95" customHeight="1">
      <c r="B1140" s="103" t="s">
        <v>147</v>
      </c>
      <c r="C1140" s="47" t="s">
        <v>169</v>
      </c>
      <c r="D1140" s="71">
        <v>1.8</v>
      </c>
      <c r="E1140" s="46"/>
      <c r="F1140" s="46"/>
      <c r="G1140" s="47"/>
      <c r="H1140" s="56">
        <f>INSUMOS!E40</f>
        <v>0.5</v>
      </c>
      <c r="I1140" s="90">
        <f t="shared" si="2"/>
        <v>0.9</v>
      </c>
    </row>
    <row r="1141" spans="2:12" ht="15.95" customHeight="1">
      <c r="B1141" s="38" t="s">
        <v>148</v>
      </c>
      <c r="C1141" s="47" t="s">
        <v>32</v>
      </c>
      <c r="D1141" s="71">
        <v>0.01</v>
      </c>
      <c r="E1141" s="46"/>
      <c r="F1141" s="46"/>
      <c r="G1141" s="46"/>
      <c r="H1141" s="56">
        <f>INSUMOS!E41</f>
        <v>68.13</v>
      </c>
      <c r="I1141" s="90">
        <f t="shared" si="2"/>
        <v>0.68</v>
      </c>
    </row>
    <row r="1142" spans="2:12" ht="15.95" customHeight="1">
      <c r="B1142" s="628" t="s">
        <v>69</v>
      </c>
      <c r="C1142" s="628"/>
      <c r="D1142" s="628"/>
      <c r="E1142" s="628"/>
      <c r="F1142" s="628"/>
      <c r="G1142" s="628"/>
      <c r="H1142" s="628"/>
      <c r="I1142" s="90">
        <f>SUM(I1135:I1141)</f>
        <v>20.170000000000002</v>
      </c>
    </row>
    <row r="1143" spans="2:12" ht="15.95" customHeight="1">
      <c r="B1143" s="626" t="s">
        <v>72</v>
      </c>
      <c r="C1143" s="626"/>
      <c r="D1143" s="626"/>
      <c r="E1143" s="626"/>
      <c r="F1143" s="626"/>
      <c r="G1143" s="626"/>
      <c r="H1143" s="626"/>
      <c r="I1143" s="626"/>
    </row>
    <row r="1144" spans="2:12" s="127" customFormat="1" ht="30" customHeight="1">
      <c r="B1144" s="45" t="s">
        <v>59</v>
      </c>
      <c r="C1144" s="71" t="s">
        <v>5</v>
      </c>
      <c r="D1144" s="47" t="s">
        <v>6</v>
      </c>
      <c r="E1144" s="46"/>
      <c r="F1144" s="46"/>
      <c r="G1144" s="46"/>
      <c r="H1144" s="47" t="s">
        <v>71</v>
      </c>
      <c r="I1144" s="43" t="s">
        <v>65</v>
      </c>
    </row>
    <row r="1145" spans="2:12">
      <c r="B1145" s="84"/>
      <c r="C1145" s="47"/>
      <c r="D1145" s="47"/>
      <c r="E1145" s="46"/>
      <c r="F1145" s="46"/>
      <c r="G1145" s="46"/>
      <c r="H1145" s="47"/>
      <c r="I1145" s="90">
        <f>D1145*H1145</f>
        <v>0</v>
      </c>
    </row>
    <row r="1146" spans="2:12">
      <c r="B1146" s="628" t="s">
        <v>69</v>
      </c>
      <c r="C1146" s="628"/>
      <c r="D1146" s="628"/>
      <c r="E1146" s="628"/>
      <c r="F1146" s="628"/>
      <c r="G1146" s="628"/>
      <c r="H1146" s="628"/>
      <c r="I1146" s="90">
        <f>SUM(I1145:I1145)</f>
        <v>0</v>
      </c>
    </row>
    <row r="1147" spans="2:12">
      <c r="B1147" s="626" t="s">
        <v>74</v>
      </c>
      <c r="C1147" s="626"/>
      <c r="D1147" s="626"/>
      <c r="E1147" s="626"/>
      <c r="F1147" s="626"/>
      <c r="G1147" s="626"/>
      <c r="H1147" s="626"/>
      <c r="I1147" s="626"/>
    </row>
    <row r="1148" spans="2:12" s="127" customFormat="1" ht="30" customHeight="1">
      <c r="B1148" s="96" t="s">
        <v>59</v>
      </c>
      <c r="C1148" s="180" t="s">
        <v>5</v>
      </c>
      <c r="D1148" s="110" t="s">
        <v>6</v>
      </c>
      <c r="E1148" s="42"/>
      <c r="F1148" s="42"/>
      <c r="G1148" s="42"/>
      <c r="H1148" s="40" t="s">
        <v>71</v>
      </c>
      <c r="I1148" s="43" t="s">
        <v>65</v>
      </c>
    </row>
    <row r="1149" spans="2:12" ht="15.95" customHeight="1">
      <c r="B1149" s="53" t="s">
        <v>75</v>
      </c>
      <c r="C1149" s="57" t="s">
        <v>67</v>
      </c>
      <c r="D1149" s="40">
        <v>0.38</v>
      </c>
      <c r="E1149" s="42"/>
      <c r="F1149" s="42"/>
      <c r="G1149" s="42"/>
      <c r="H1149" s="52">
        <f>INSUMOS!E14</f>
        <v>3.42</v>
      </c>
      <c r="I1149" s="43">
        <f>H1149*D1149</f>
        <v>1.3</v>
      </c>
    </row>
    <row r="1150" spans="2:12" ht="15.95" customHeight="1">
      <c r="B1150" s="77" t="s">
        <v>149</v>
      </c>
      <c r="C1150" s="57" t="s">
        <v>67</v>
      </c>
      <c r="D1150" s="40">
        <v>0.4</v>
      </c>
      <c r="E1150" s="42"/>
      <c r="F1150" s="42"/>
      <c r="G1150" s="42"/>
      <c r="H1150" s="52">
        <f>INSUMOS!E19</f>
        <v>4.55</v>
      </c>
      <c r="I1150" s="43">
        <f>H1150*D1150</f>
        <v>1.82</v>
      </c>
      <c r="K1150" s="33">
        <v>6111</v>
      </c>
    </row>
    <row r="1151" spans="2:12" ht="15.95" customHeight="1">
      <c r="B1151" s="635" t="s">
        <v>576</v>
      </c>
      <c r="C1151" s="635"/>
      <c r="D1151" s="635"/>
      <c r="E1151" s="635"/>
      <c r="F1151" s="635"/>
      <c r="G1151" s="635"/>
      <c r="H1151" s="635"/>
      <c r="I1151" s="90">
        <f>SUM(I1149:I1150)*0.9103</f>
        <v>2.84</v>
      </c>
      <c r="K1151" s="33">
        <v>4750</v>
      </c>
    </row>
    <row r="1152" spans="2:12" ht="15.95" customHeight="1">
      <c r="B1152" s="628" t="s">
        <v>69</v>
      </c>
      <c r="C1152" s="628"/>
      <c r="D1152" s="628"/>
      <c r="E1152" s="628"/>
      <c r="F1152" s="628"/>
      <c r="G1152" s="628"/>
      <c r="H1152" s="628"/>
      <c r="I1152" s="92">
        <f>SUM(I1149:I1151)</f>
        <v>5.96</v>
      </c>
    </row>
    <row r="1153" spans="2:11" ht="15.95" customHeight="1">
      <c r="B1153" s="147" t="s">
        <v>76</v>
      </c>
      <c r="C1153" s="148">
        <v>1.07</v>
      </c>
      <c r="D1153" s="636" t="s">
        <v>77</v>
      </c>
      <c r="E1153" s="637"/>
      <c r="F1153" s="637"/>
      <c r="G1153" s="637"/>
      <c r="H1153" s="638"/>
      <c r="I1153" s="92">
        <f>I1132+I1142+I1146+I1152</f>
        <v>26.13</v>
      </c>
    </row>
    <row r="1154" spans="2:11" ht="15.95" customHeight="1">
      <c r="B1154" s="632"/>
      <c r="C1154" s="633"/>
      <c r="D1154" s="633"/>
      <c r="E1154" s="633"/>
      <c r="F1154" s="633"/>
      <c r="G1154" s="633"/>
      <c r="H1154" s="634"/>
      <c r="I1154" s="92">
        <f>I1153/C1153</f>
        <v>24.42</v>
      </c>
    </row>
    <row r="1155" spans="2:11" ht="15.95" customHeight="1">
      <c r="B1155" s="139" t="s">
        <v>334</v>
      </c>
      <c r="C1155" s="145">
        <f>BDI!C37</f>
        <v>24.5</v>
      </c>
      <c r="D1155" s="146" t="s">
        <v>269</v>
      </c>
      <c r="E1155" s="136"/>
      <c r="F1155" s="136"/>
      <c r="G1155" s="136"/>
      <c r="H1155" s="137"/>
      <c r="I1155" s="90">
        <f>C1155/100*I1154</f>
        <v>5.98</v>
      </c>
      <c r="J1155" s="33">
        <v>24.25</v>
      </c>
    </row>
    <row r="1156" spans="2:11" ht="15.95" customHeight="1" thickBot="1">
      <c r="B1156" s="627" t="s">
        <v>78</v>
      </c>
      <c r="C1156" s="627"/>
      <c r="D1156" s="627"/>
      <c r="E1156" s="627"/>
      <c r="F1156" s="627"/>
      <c r="G1156" s="627"/>
      <c r="H1156" s="627"/>
      <c r="I1156" s="135">
        <f>SUM(I1154:I1155)</f>
        <v>30.4</v>
      </c>
    </row>
    <row r="1157" spans="2:11" s="127" customFormat="1" ht="30" customHeight="1">
      <c r="B1157" s="33"/>
      <c r="C1157" s="130"/>
      <c r="D1157" s="130"/>
      <c r="E1157" s="33"/>
      <c r="F1157" s="33"/>
      <c r="G1157" s="33"/>
      <c r="H1157" s="33"/>
      <c r="I1157" s="130"/>
    </row>
    <row r="1163" spans="2:11" ht="13.5" thickBot="1"/>
    <row r="1164" spans="2:11" ht="15.75">
      <c r="B1164" s="335" t="s">
        <v>55</v>
      </c>
      <c r="C1164" s="336" t="str">
        <f>'Planilha Orçamentária'!B74</f>
        <v>4.11</v>
      </c>
      <c r="D1164" s="758" t="s">
        <v>56</v>
      </c>
      <c r="E1164" s="758"/>
      <c r="F1164" s="758"/>
      <c r="G1164" s="758"/>
      <c r="H1164" s="758"/>
      <c r="I1164" s="759"/>
    </row>
    <row r="1165" spans="2:11" s="334" customFormat="1" ht="30" customHeight="1">
      <c r="B1165" s="696" t="s">
        <v>438</v>
      </c>
      <c r="C1165" s="697"/>
      <c r="D1165" s="697"/>
      <c r="E1165" s="697"/>
      <c r="F1165" s="697"/>
      <c r="G1165" s="698"/>
      <c r="H1165" s="699" t="s">
        <v>547</v>
      </c>
      <c r="I1165" s="700"/>
      <c r="J1165" s="337"/>
    </row>
    <row r="1166" spans="2:11" s="334" customFormat="1" ht="30" customHeight="1">
      <c r="B1166" s="701" t="s">
        <v>456</v>
      </c>
      <c r="C1166" s="702"/>
      <c r="D1166" s="702"/>
      <c r="E1166" s="702"/>
      <c r="F1166" s="702"/>
      <c r="G1166" s="703"/>
      <c r="H1166" s="338" t="s">
        <v>57</v>
      </c>
      <c r="I1166" s="339" t="s">
        <v>379</v>
      </c>
      <c r="J1166" s="337"/>
    </row>
    <row r="1167" spans="2:11" s="334" customFormat="1" ht="30" customHeight="1">
      <c r="B1167" s="713" t="s">
        <v>58</v>
      </c>
      <c r="C1167" s="714"/>
      <c r="D1167" s="714"/>
      <c r="E1167" s="714"/>
      <c r="F1167" s="714"/>
      <c r="G1167" s="714"/>
      <c r="H1167" s="714"/>
      <c r="I1167" s="715"/>
      <c r="J1167" s="740"/>
      <c r="K1167" s="740"/>
    </row>
    <row r="1168" spans="2:11" s="334" customFormat="1" ht="30" customHeight="1">
      <c r="B1168" s="340" t="s">
        <v>59</v>
      </c>
      <c r="C1168" s="36" t="s">
        <v>60</v>
      </c>
      <c r="D1168" s="341" t="s">
        <v>6</v>
      </c>
      <c r="E1168" s="342" t="s">
        <v>61</v>
      </c>
      <c r="F1168" s="342" t="s">
        <v>62</v>
      </c>
      <c r="G1168" s="343" t="s">
        <v>63</v>
      </c>
      <c r="H1168" s="343" t="s">
        <v>64</v>
      </c>
      <c r="I1168" s="344" t="s">
        <v>65</v>
      </c>
      <c r="J1168" s="740"/>
      <c r="K1168" s="740"/>
    </row>
    <row r="1169" spans="2:12" s="334" customFormat="1">
      <c r="B1169" s="346"/>
      <c r="C1169" s="347"/>
      <c r="D1169" s="348"/>
      <c r="E1169" s="349"/>
      <c r="F1169" s="350"/>
      <c r="G1169" s="351"/>
      <c r="H1169" s="352"/>
      <c r="I1169" s="351">
        <f>D1169*G1169</f>
        <v>0</v>
      </c>
      <c r="J1169" s="740"/>
      <c r="K1169" s="740"/>
    </row>
    <row r="1170" spans="2:12" s="345" customFormat="1">
      <c r="B1170" s="718" t="s">
        <v>69</v>
      </c>
      <c r="C1170" s="719"/>
      <c r="D1170" s="719"/>
      <c r="E1170" s="719"/>
      <c r="F1170" s="719"/>
      <c r="G1170" s="719"/>
      <c r="H1170" s="719"/>
      <c r="I1170" s="354">
        <f>SUM(I1169:I1169)</f>
        <v>0</v>
      </c>
      <c r="J1170" s="121"/>
      <c r="L1170" s="353"/>
    </row>
    <row r="1171" spans="2:12" s="345" customFormat="1" ht="15" customHeight="1">
      <c r="B1171" s="713" t="s">
        <v>70</v>
      </c>
      <c r="C1171" s="714"/>
      <c r="D1171" s="714"/>
      <c r="E1171" s="714"/>
      <c r="F1171" s="714"/>
      <c r="G1171" s="714"/>
      <c r="H1171" s="714"/>
      <c r="I1171" s="715"/>
      <c r="J1171" s="121"/>
    </row>
    <row r="1172" spans="2:12" s="334" customFormat="1" ht="27.75" customHeight="1">
      <c r="B1172" s="356" t="s">
        <v>59</v>
      </c>
      <c r="C1172" s="36" t="s">
        <v>60</v>
      </c>
      <c r="D1172" s="357" t="s">
        <v>6</v>
      </c>
      <c r="E1172" s="358"/>
      <c r="F1172" s="358"/>
      <c r="G1172" s="358"/>
      <c r="H1172" s="347" t="s">
        <v>71</v>
      </c>
      <c r="I1172" s="359" t="s">
        <v>65</v>
      </c>
      <c r="J1172" s="337"/>
      <c r="K1172" s="355"/>
    </row>
    <row r="1173" spans="2:12" s="334" customFormat="1" ht="14.1" customHeight="1">
      <c r="B1173" s="346" t="s">
        <v>466</v>
      </c>
      <c r="C1173" s="168" t="s">
        <v>88</v>
      </c>
      <c r="D1173" s="361">
        <v>17</v>
      </c>
      <c r="E1173" s="362"/>
      <c r="F1173" s="362"/>
      <c r="G1173" s="362"/>
      <c r="H1173" s="363">
        <f>INSUMOS!E132</f>
        <v>4.0599999999999996</v>
      </c>
      <c r="I1173" s="364">
        <f>D1173*H1173</f>
        <v>69.02</v>
      </c>
      <c r="J1173" s="337"/>
    </row>
    <row r="1174" spans="2:12" s="334" customFormat="1">
      <c r="B1174" s="366" t="s">
        <v>467</v>
      </c>
      <c r="C1174" s="367" t="s">
        <v>27</v>
      </c>
      <c r="D1174" s="368">
        <v>7.4</v>
      </c>
      <c r="E1174" s="369"/>
      <c r="F1174" s="369"/>
      <c r="G1174" s="369"/>
      <c r="H1174" s="363">
        <f>INSUMOS!E133</f>
        <v>15.39</v>
      </c>
      <c r="I1174" s="364">
        <f>D1174*H1174</f>
        <v>113.89</v>
      </c>
      <c r="J1174" s="337"/>
      <c r="K1174" s="365">
        <f>1.8*1.1</f>
        <v>1.98</v>
      </c>
    </row>
    <row r="1175" spans="2:12" s="334" customFormat="1" ht="15" customHeight="1">
      <c r="B1175" s="366" t="s">
        <v>468</v>
      </c>
      <c r="C1175" s="168" t="s">
        <v>379</v>
      </c>
      <c r="D1175" s="368">
        <v>1</v>
      </c>
      <c r="E1175" s="369"/>
      <c r="F1175" s="369"/>
      <c r="G1175" s="369"/>
      <c r="H1175" s="363">
        <f>INSUMOS!E134</f>
        <v>21.72</v>
      </c>
      <c r="I1175" s="364">
        <f>D1175*H1175</f>
        <v>21.72</v>
      </c>
      <c r="J1175" s="337"/>
      <c r="K1175" s="365"/>
    </row>
    <row r="1176" spans="2:12" s="334" customFormat="1" ht="23.25" customHeight="1">
      <c r="B1176" s="366" t="s">
        <v>469</v>
      </c>
      <c r="C1176" s="367" t="s">
        <v>85</v>
      </c>
      <c r="D1176" s="368">
        <v>1.98</v>
      </c>
      <c r="E1176" s="369"/>
      <c r="F1176" s="369"/>
      <c r="G1176" s="369"/>
      <c r="H1176" s="363">
        <f>INSUMOS!E135</f>
        <v>49.09</v>
      </c>
      <c r="I1176" s="364">
        <f>D1176*H1176</f>
        <v>97.2</v>
      </c>
      <c r="J1176" s="337"/>
      <c r="K1176" s="365"/>
    </row>
    <row r="1177" spans="2:12" s="334" customFormat="1">
      <c r="B1177" s="716" t="s">
        <v>69</v>
      </c>
      <c r="C1177" s="717"/>
      <c r="D1177" s="717"/>
      <c r="E1177" s="717"/>
      <c r="F1177" s="717"/>
      <c r="G1177" s="717"/>
      <c r="H1177" s="717"/>
      <c r="I1177" s="364">
        <f>SUM(I1173:I1176)</f>
        <v>301.83</v>
      </c>
      <c r="J1177" s="337"/>
      <c r="K1177" s="365"/>
    </row>
    <row r="1178" spans="2:12" s="334" customFormat="1" ht="15" customHeight="1">
      <c r="B1178" s="713" t="s">
        <v>72</v>
      </c>
      <c r="C1178" s="714"/>
      <c r="D1178" s="714"/>
      <c r="E1178" s="714"/>
      <c r="F1178" s="714"/>
      <c r="G1178" s="714"/>
      <c r="H1178" s="714"/>
      <c r="I1178" s="715"/>
      <c r="J1178" s="337"/>
    </row>
    <row r="1179" spans="2:12" s="334" customFormat="1" ht="28.5" customHeight="1">
      <c r="B1179" s="371" t="s">
        <v>59</v>
      </c>
      <c r="C1179" s="36" t="s">
        <v>60</v>
      </c>
      <c r="D1179" s="347" t="s">
        <v>6</v>
      </c>
      <c r="E1179" s="372"/>
      <c r="F1179" s="372"/>
      <c r="G1179" s="372"/>
      <c r="H1179" s="347" t="s">
        <v>71</v>
      </c>
      <c r="I1179" s="364" t="s">
        <v>65</v>
      </c>
      <c r="J1179" s="337"/>
    </row>
    <row r="1180" spans="2:12" s="334" customFormat="1" ht="24.75" customHeight="1">
      <c r="B1180" s="392" t="s">
        <v>457</v>
      </c>
      <c r="C1180" s="347" t="s">
        <v>32</v>
      </c>
      <c r="D1180" s="374">
        <v>0.27</v>
      </c>
      <c r="E1180" s="372"/>
      <c r="F1180" s="372"/>
      <c r="G1180" s="372"/>
      <c r="H1180" s="370">
        <f>I620</f>
        <v>460.32</v>
      </c>
      <c r="I1180" s="364">
        <f>D1180*H1180</f>
        <v>124.29</v>
      </c>
      <c r="J1180" s="337"/>
    </row>
    <row r="1181" spans="2:12" s="334" customFormat="1">
      <c r="B1181" s="391" t="s">
        <v>458</v>
      </c>
      <c r="C1181" s="347" t="s">
        <v>85</v>
      </c>
      <c r="D1181" s="374">
        <v>3.9</v>
      </c>
      <c r="E1181" s="372"/>
      <c r="F1181" s="372"/>
      <c r="G1181" s="372"/>
      <c r="H1181" s="370">
        <f>I1223</f>
        <v>5.62</v>
      </c>
      <c r="I1181" s="364">
        <f>D1181*H1181</f>
        <v>21.92</v>
      </c>
      <c r="J1181" s="337"/>
    </row>
    <row r="1182" spans="2:12" s="334" customFormat="1" ht="15" customHeight="1">
      <c r="B1182" s="391" t="s">
        <v>462</v>
      </c>
      <c r="C1182" s="347" t="s">
        <v>32</v>
      </c>
      <c r="D1182" s="374">
        <f>1.5*0.3*0.3</f>
        <v>0.13500000000000001</v>
      </c>
      <c r="E1182" s="372"/>
      <c r="F1182" s="372"/>
      <c r="G1182" s="372"/>
      <c r="H1182" s="370">
        <f>I1017</f>
        <v>16.98</v>
      </c>
      <c r="I1182" s="364">
        <f>D1182*H1182</f>
        <v>2.29</v>
      </c>
      <c r="J1182" s="337"/>
    </row>
    <row r="1183" spans="2:12" s="334" customFormat="1" ht="15" customHeight="1">
      <c r="B1183" s="391" t="s">
        <v>463</v>
      </c>
      <c r="C1183" s="347" t="s">
        <v>85</v>
      </c>
      <c r="D1183" s="374">
        <v>3.4</v>
      </c>
      <c r="E1183" s="372"/>
      <c r="F1183" s="372"/>
      <c r="G1183" s="372"/>
      <c r="H1183" s="370">
        <f>I1254</f>
        <v>9.2899999999999991</v>
      </c>
      <c r="I1183" s="364">
        <f>D1183*H1183</f>
        <v>31.59</v>
      </c>
      <c r="J1183" s="337"/>
    </row>
    <row r="1184" spans="2:12" s="334" customFormat="1" ht="15" customHeight="1">
      <c r="B1184" s="712" t="s">
        <v>69</v>
      </c>
      <c r="C1184" s="689"/>
      <c r="D1184" s="689"/>
      <c r="E1184" s="689"/>
      <c r="F1184" s="689"/>
      <c r="G1184" s="689"/>
      <c r="H1184" s="689"/>
      <c r="I1184" s="364">
        <f>SUM(I1180:I1183)</f>
        <v>180.09</v>
      </c>
      <c r="J1184" s="337"/>
    </row>
    <row r="1185" spans="2:10" s="334" customFormat="1" ht="15" customHeight="1">
      <c r="B1185" s="713" t="s">
        <v>74</v>
      </c>
      <c r="C1185" s="714"/>
      <c r="D1185" s="714"/>
      <c r="E1185" s="714"/>
      <c r="F1185" s="714"/>
      <c r="G1185" s="714"/>
      <c r="H1185" s="714"/>
      <c r="I1185" s="715"/>
      <c r="J1185" s="337"/>
    </row>
    <row r="1186" spans="2:10" s="334" customFormat="1" ht="30" customHeight="1">
      <c r="B1186" s="375" t="s">
        <v>59</v>
      </c>
      <c r="C1186" s="36" t="s">
        <v>60</v>
      </c>
      <c r="D1186" s="376" t="s">
        <v>6</v>
      </c>
      <c r="E1186" s="362"/>
      <c r="F1186" s="362"/>
      <c r="G1186" s="362"/>
      <c r="H1186" s="347" t="s">
        <v>71</v>
      </c>
      <c r="I1186" s="359" t="s">
        <v>65</v>
      </c>
      <c r="J1186" s="337"/>
    </row>
    <row r="1187" spans="2:10" s="334" customFormat="1" ht="14.1" customHeight="1">
      <c r="B1187" s="377" t="s">
        <v>149</v>
      </c>
      <c r="C1187" s="378" t="s">
        <v>67</v>
      </c>
      <c r="D1187" s="379">
        <v>5.78</v>
      </c>
      <c r="E1187" s="362"/>
      <c r="F1187" s="362"/>
      <c r="G1187" s="362"/>
      <c r="H1187" s="363">
        <f>INSUMOS!E19</f>
        <v>4.55</v>
      </c>
      <c r="I1187" s="364">
        <f>D1187*H1187</f>
        <v>26.3</v>
      </c>
      <c r="J1187" s="337"/>
    </row>
    <row r="1188" spans="2:10" s="334" customFormat="1" ht="14.1" customHeight="1">
      <c r="B1188" s="377" t="s">
        <v>75</v>
      </c>
      <c r="C1188" s="378" t="s">
        <v>67</v>
      </c>
      <c r="D1188" s="379">
        <v>2.89</v>
      </c>
      <c r="E1188" s="362"/>
      <c r="F1188" s="362"/>
      <c r="G1188" s="362"/>
      <c r="H1188" s="363">
        <f>INSUMOS!E14</f>
        <v>3.42</v>
      </c>
      <c r="I1188" s="364">
        <f>D1188*H1188</f>
        <v>9.8800000000000008</v>
      </c>
      <c r="J1188" s="337"/>
    </row>
    <row r="1189" spans="2:10" s="334" customFormat="1" ht="14.1" customHeight="1">
      <c r="B1189" s="635" t="s">
        <v>576</v>
      </c>
      <c r="C1189" s="635"/>
      <c r="D1189" s="635"/>
      <c r="E1189" s="635"/>
      <c r="F1189" s="635"/>
      <c r="G1189" s="635"/>
      <c r="H1189" s="635"/>
      <c r="I1189" s="354">
        <f>SUM(I1187:I1188)*0.9103</f>
        <v>32.93</v>
      </c>
      <c r="J1189" s="337"/>
    </row>
    <row r="1190" spans="2:10" s="334" customFormat="1" ht="14.1" customHeight="1">
      <c r="B1190" s="712" t="s">
        <v>69</v>
      </c>
      <c r="C1190" s="689"/>
      <c r="D1190" s="689"/>
      <c r="E1190" s="689"/>
      <c r="F1190" s="689"/>
      <c r="G1190" s="689"/>
      <c r="H1190" s="689"/>
      <c r="I1190" s="354">
        <f>SUM(I1187:I1189)</f>
        <v>69.11</v>
      </c>
      <c r="J1190" s="337"/>
    </row>
    <row r="1191" spans="2:10" s="334" customFormat="1" ht="14.1" customHeight="1">
      <c r="B1191" s="380" t="s">
        <v>76</v>
      </c>
      <c r="C1191" s="381">
        <v>1</v>
      </c>
      <c r="D1191" s="689" t="s">
        <v>77</v>
      </c>
      <c r="E1191" s="689"/>
      <c r="F1191" s="689"/>
      <c r="G1191" s="689"/>
      <c r="H1191" s="689"/>
      <c r="I1191" s="354">
        <f>I1190+I1184+I1177+I1170</f>
        <v>551.03</v>
      </c>
      <c r="J1191" s="337"/>
    </row>
    <row r="1192" spans="2:10" s="334" customFormat="1" ht="14.1" customHeight="1">
      <c r="B1192" s="690" t="s">
        <v>442</v>
      </c>
      <c r="C1192" s="691"/>
      <c r="D1192" s="692"/>
      <c r="E1192" s="692"/>
      <c r="F1192" s="692"/>
      <c r="G1192" s="692"/>
      <c r="H1192" s="692"/>
      <c r="I1192" s="364">
        <f>I1191/C1191</f>
        <v>551.03</v>
      </c>
      <c r="J1192" s="337"/>
    </row>
    <row r="1193" spans="2:10" s="334" customFormat="1" ht="14.1" customHeight="1">
      <c r="B1193" s="382" t="s">
        <v>443</v>
      </c>
      <c r="C1193" s="383">
        <f>BDI!C37</f>
        <v>24.5</v>
      </c>
      <c r="D1193" s="693" t="s">
        <v>269</v>
      </c>
      <c r="E1193" s="694"/>
      <c r="F1193" s="694"/>
      <c r="G1193" s="694"/>
      <c r="H1193" s="695"/>
      <c r="I1193" s="364">
        <f>I1192/100*C1193</f>
        <v>135</v>
      </c>
      <c r="J1193" s="337">
        <v>794.24</v>
      </c>
    </row>
    <row r="1194" spans="2:10" s="334" customFormat="1" ht="14.1" customHeight="1" thickBot="1">
      <c r="B1194" s="709" t="s">
        <v>78</v>
      </c>
      <c r="C1194" s="710"/>
      <c r="D1194" s="710"/>
      <c r="E1194" s="710"/>
      <c r="F1194" s="710"/>
      <c r="G1194" s="710"/>
      <c r="H1194" s="711"/>
      <c r="I1194" s="135">
        <f>SUM(I1192:I1193)</f>
        <v>686.03</v>
      </c>
      <c r="J1194" s="337"/>
    </row>
    <row r="1195" spans="2:10" s="334" customFormat="1" ht="30" customHeight="1">
      <c r="B1195" s="33"/>
      <c r="C1195" s="130"/>
      <c r="D1195" s="130"/>
      <c r="E1195" s="33"/>
      <c r="F1195" s="33"/>
      <c r="G1195" s="33"/>
      <c r="H1195" s="33"/>
      <c r="I1195" s="130"/>
      <c r="J1195" s="337"/>
    </row>
    <row r="1199" spans="2:10" ht="13.5" thickBot="1"/>
    <row r="1200" spans="2:10" ht="15.75">
      <c r="B1200" s="335" t="s">
        <v>55</v>
      </c>
      <c r="C1200" s="336" t="s">
        <v>553</v>
      </c>
      <c r="D1200" s="758" t="s">
        <v>56</v>
      </c>
      <c r="E1200" s="758"/>
      <c r="F1200" s="758"/>
      <c r="G1200" s="758"/>
      <c r="H1200" s="758"/>
      <c r="I1200" s="759"/>
    </row>
    <row r="1201" spans="2:12" s="334" customFormat="1" ht="30" customHeight="1">
      <c r="B1201" s="696" t="s">
        <v>438</v>
      </c>
      <c r="C1201" s="697"/>
      <c r="D1201" s="697"/>
      <c r="E1201" s="697"/>
      <c r="F1201" s="697"/>
      <c r="G1201" s="698"/>
      <c r="H1201" s="699" t="s">
        <v>547</v>
      </c>
      <c r="I1201" s="700"/>
      <c r="J1201" s="337"/>
    </row>
    <row r="1202" spans="2:12" s="334" customFormat="1" ht="30" customHeight="1">
      <c r="B1202" s="701" t="s">
        <v>517</v>
      </c>
      <c r="C1202" s="702"/>
      <c r="D1202" s="702"/>
      <c r="E1202" s="702"/>
      <c r="F1202" s="702"/>
      <c r="G1202" s="703"/>
      <c r="H1202" s="338" t="s">
        <v>57</v>
      </c>
      <c r="I1202" s="339" t="s">
        <v>85</v>
      </c>
      <c r="J1202" s="337"/>
    </row>
    <row r="1203" spans="2:12" s="334" customFormat="1" ht="30" customHeight="1">
      <c r="B1203" s="713" t="s">
        <v>58</v>
      </c>
      <c r="C1203" s="714"/>
      <c r="D1203" s="714"/>
      <c r="E1203" s="714"/>
      <c r="F1203" s="714"/>
      <c r="G1203" s="714"/>
      <c r="H1203" s="714"/>
      <c r="I1203" s="715"/>
      <c r="J1203" s="740"/>
      <c r="K1203" s="740"/>
    </row>
    <row r="1204" spans="2:12" s="334" customFormat="1" ht="30" customHeight="1">
      <c r="B1204" s="340" t="s">
        <v>59</v>
      </c>
      <c r="C1204" s="36" t="s">
        <v>60</v>
      </c>
      <c r="D1204" s="341" t="s">
        <v>6</v>
      </c>
      <c r="E1204" s="342" t="s">
        <v>61</v>
      </c>
      <c r="F1204" s="342" t="s">
        <v>62</v>
      </c>
      <c r="G1204" s="343" t="s">
        <v>63</v>
      </c>
      <c r="H1204" s="343" t="s">
        <v>64</v>
      </c>
      <c r="I1204" s="344" t="s">
        <v>65</v>
      </c>
      <c r="J1204" s="740"/>
      <c r="K1204" s="740"/>
    </row>
    <row r="1205" spans="2:12" s="334" customFormat="1">
      <c r="B1205" s="346"/>
      <c r="C1205" s="347"/>
      <c r="D1205" s="348"/>
      <c r="E1205" s="349"/>
      <c r="F1205" s="350"/>
      <c r="G1205" s="351"/>
      <c r="H1205" s="352"/>
      <c r="I1205" s="351">
        <f>D1205*G1205</f>
        <v>0</v>
      </c>
      <c r="J1205" s="740"/>
      <c r="K1205" s="740"/>
    </row>
    <row r="1206" spans="2:12" s="345" customFormat="1">
      <c r="B1206" s="718" t="s">
        <v>69</v>
      </c>
      <c r="C1206" s="719"/>
      <c r="D1206" s="719"/>
      <c r="E1206" s="719"/>
      <c r="F1206" s="719"/>
      <c r="G1206" s="719"/>
      <c r="H1206" s="719"/>
      <c r="I1206" s="354">
        <f>SUM(I1205:I1205)</f>
        <v>0</v>
      </c>
      <c r="J1206" s="121"/>
      <c r="L1206" s="353"/>
    </row>
    <row r="1207" spans="2:12" s="345" customFormat="1" ht="15" customHeight="1">
      <c r="B1207" s="713" t="s">
        <v>70</v>
      </c>
      <c r="C1207" s="714"/>
      <c r="D1207" s="714"/>
      <c r="E1207" s="714"/>
      <c r="F1207" s="714"/>
      <c r="G1207" s="714"/>
      <c r="H1207" s="714"/>
      <c r="I1207" s="715"/>
      <c r="J1207" s="121"/>
    </row>
    <row r="1208" spans="2:12" s="334" customFormat="1" ht="30" customHeight="1">
      <c r="B1208" s="356" t="s">
        <v>59</v>
      </c>
      <c r="C1208" s="36" t="s">
        <v>60</v>
      </c>
      <c r="D1208" s="357" t="s">
        <v>6</v>
      </c>
      <c r="E1208" s="358"/>
      <c r="F1208" s="358"/>
      <c r="G1208" s="358"/>
      <c r="H1208" s="347" t="s">
        <v>71</v>
      </c>
      <c r="I1208" s="359" t="s">
        <v>65</v>
      </c>
      <c r="J1208" s="337"/>
      <c r="K1208" s="355"/>
    </row>
    <row r="1209" spans="2:12" s="334" customFormat="1" ht="14.1" customHeight="1">
      <c r="B1209" s="360" t="s">
        <v>459</v>
      </c>
      <c r="C1209" s="168" t="s">
        <v>379</v>
      </c>
      <c r="D1209" s="361">
        <v>0.12</v>
      </c>
      <c r="E1209" s="362"/>
      <c r="F1209" s="362"/>
      <c r="G1209" s="362"/>
      <c r="H1209" s="363">
        <f>INSUMOS!E80</f>
        <v>0.28000000000000003</v>
      </c>
      <c r="I1209" s="364">
        <f>D1209*H1209</f>
        <v>0.03</v>
      </c>
      <c r="J1209" s="337"/>
    </row>
    <row r="1210" spans="2:12" s="334" customFormat="1" ht="15" customHeight="1">
      <c r="B1210" s="366" t="s">
        <v>460</v>
      </c>
      <c r="C1210" s="367" t="s">
        <v>94</v>
      </c>
      <c r="D1210" s="368">
        <v>0.18</v>
      </c>
      <c r="E1210" s="369"/>
      <c r="F1210" s="369"/>
      <c r="G1210" s="369"/>
      <c r="H1210" s="363">
        <f>INSUMOS!E76</f>
        <v>12.9</v>
      </c>
      <c r="I1210" s="364">
        <f>D1210*H1210</f>
        <v>2.3199999999999998</v>
      </c>
      <c r="J1210" s="337"/>
      <c r="K1210" s="365"/>
    </row>
    <row r="1211" spans="2:12" s="334" customFormat="1" ht="15" customHeight="1">
      <c r="B1211" s="716" t="s">
        <v>69</v>
      </c>
      <c r="C1211" s="717"/>
      <c r="D1211" s="717"/>
      <c r="E1211" s="717"/>
      <c r="F1211" s="717"/>
      <c r="G1211" s="717"/>
      <c r="H1211" s="717"/>
      <c r="I1211" s="364">
        <f>SUM(I1209:I1210)</f>
        <v>2.35</v>
      </c>
      <c r="J1211" s="337"/>
      <c r="K1211" s="365"/>
    </row>
    <row r="1212" spans="2:12" s="334" customFormat="1" ht="15" customHeight="1">
      <c r="B1212" s="713" t="s">
        <v>72</v>
      </c>
      <c r="C1212" s="714"/>
      <c r="D1212" s="714"/>
      <c r="E1212" s="714"/>
      <c r="F1212" s="714"/>
      <c r="G1212" s="714"/>
      <c r="H1212" s="714"/>
      <c r="I1212" s="715"/>
      <c r="J1212" s="337"/>
    </row>
    <row r="1213" spans="2:12" s="334" customFormat="1" ht="30" customHeight="1">
      <c r="B1213" s="371" t="s">
        <v>59</v>
      </c>
      <c r="C1213" s="36" t="s">
        <v>60</v>
      </c>
      <c r="D1213" s="347" t="s">
        <v>6</v>
      </c>
      <c r="E1213" s="372"/>
      <c r="F1213" s="372"/>
      <c r="G1213" s="372"/>
      <c r="H1213" s="347" t="s">
        <v>71</v>
      </c>
      <c r="I1213" s="364" t="s">
        <v>65</v>
      </c>
      <c r="J1213" s="337"/>
    </row>
    <row r="1214" spans="2:12" s="334" customFormat="1" ht="15" customHeight="1">
      <c r="B1214" s="391"/>
      <c r="C1214" s="347"/>
      <c r="D1214" s="374"/>
      <c r="E1214" s="372"/>
      <c r="F1214" s="372"/>
      <c r="G1214" s="372"/>
      <c r="H1214" s="393"/>
      <c r="I1214" s="364"/>
      <c r="J1214" s="337"/>
    </row>
    <row r="1215" spans="2:12" s="334" customFormat="1" ht="15" customHeight="1">
      <c r="B1215" s="712" t="s">
        <v>69</v>
      </c>
      <c r="C1215" s="689"/>
      <c r="D1215" s="689"/>
      <c r="E1215" s="689"/>
      <c r="F1215" s="689"/>
      <c r="G1215" s="689"/>
      <c r="H1215" s="689"/>
      <c r="I1215" s="364">
        <f>SUM(I1214)</f>
        <v>0</v>
      </c>
      <c r="J1215" s="337"/>
    </row>
    <row r="1216" spans="2:12" s="334" customFormat="1" ht="15" customHeight="1">
      <c r="B1216" s="713" t="s">
        <v>74</v>
      </c>
      <c r="C1216" s="714"/>
      <c r="D1216" s="714"/>
      <c r="E1216" s="714"/>
      <c r="F1216" s="714"/>
      <c r="G1216" s="714"/>
      <c r="H1216" s="714"/>
      <c r="I1216" s="715"/>
      <c r="J1216" s="337"/>
    </row>
    <row r="1217" spans="2:10" s="334" customFormat="1" ht="30" customHeight="1">
      <c r="B1217" s="375" t="s">
        <v>59</v>
      </c>
      <c r="C1217" s="36" t="s">
        <v>60</v>
      </c>
      <c r="D1217" s="376" t="s">
        <v>6</v>
      </c>
      <c r="E1217" s="362"/>
      <c r="F1217" s="362"/>
      <c r="G1217" s="362"/>
      <c r="H1217" s="347" t="s">
        <v>71</v>
      </c>
      <c r="I1217" s="359" t="s">
        <v>65</v>
      </c>
      <c r="J1217" s="337"/>
    </row>
    <row r="1218" spans="2:10" s="334" customFormat="1" ht="14.1" customHeight="1">
      <c r="B1218" s="377" t="s">
        <v>461</v>
      </c>
      <c r="C1218" s="378" t="s">
        <v>67</v>
      </c>
      <c r="D1218" s="379">
        <v>0.3</v>
      </c>
      <c r="E1218" s="362"/>
      <c r="F1218" s="362"/>
      <c r="G1218" s="362"/>
      <c r="H1218" s="363">
        <f>INSUMOS!E20</f>
        <v>4.55</v>
      </c>
      <c r="I1218" s="364">
        <f>D1218*H1218</f>
        <v>1.37</v>
      </c>
      <c r="J1218" s="337"/>
    </row>
    <row r="1219" spans="2:10" s="334" customFormat="1" ht="15" customHeight="1">
      <c r="B1219" s="377" t="s">
        <v>445</v>
      </c>
      <c r="C1219" s="378" t="s">
        <v>67</v>
      </c>
      <c r="D1219" s="379">
        <v>0.1</v>
      </c>
      <c r="E1219" s="362"/>
      <c r="F1219" s="362"/>
      <c r="G1219" s="362"/>
      <c r="H1219" s="363">
        <f>INSUMOS!E15</f>
        <v>3.42</v>
      </c>
      <c r="I1219" s="364">
        <f>D1219*H1219</f>
        <v>0.34</v>
      </c>
      <c r="J1219" s="337"/>
    </row>
    <row r="1220" spans="2:10" s="334" customFormat="1" ht="15" customHeight="1">
      <c r="B1220" s="635" t="s">
        <v>576</v>
      </c>
      <c r="C1220" s="635"/>
      <c r="D1220" s="635"/>
      <c r="E1220" s="635"/>
      <c r="F1220" s="635"/>
      <c r="G1220" s="635"/>
      <c r="H1220" s="635"/>
      <c r="I1220" s="354">
        <f>SUM(I1218:I1219)*0.9103</f>
        <v>1.56</v>
      </c>
      <c r="J1220" s="337"/>
    </row>
    <row r="1221" spans="2:10" s="334" customFormat="1" ht="15" customHeight="1">
      <c r="B1221" s="712" t="s">
        <v>69</v>
      </c>
      <c r="C1221" s="689"/>
      <c r="D1221" s="689"/>
      <c r="E1221" s="689"/>
      <c r="F1221" s="689"/>
      <c r="G1221" s="689"/>
      <c r="H1221" s="689"/>
      <c r="I1221" s="354">
        <f>SUM(I1218:I1220)</f>
        <v>3.27</v>
      </c>
      <c r="J1221" s="337"/>
    </row>
    <row r="1222" spans="2:10" s="334" customFormat="1" ht="15" customHeight="1">
      <c r="B1222" s="380" t="s">
        <v>76</v>
      </c>
      <c r="C1222" s="381">
        <v>1</v>
      </c>
      <c r="D1222" s="689" t="s">
        <v>77</v>
      </c>
      <c r="E1222" s="689"/>
      <c r="F1222" s="689"/>
      <c r="G1222" s="689"/>
      <c r="H1222" s="689"/>
      <c r="I1222" s="354">
        <f>I1221+I1215+I1211+I1206</f>
        <v>5.62</v>
      </c>
      <c r="J1222" s="337"/>
    </row>
    <row r="1223" spans="2:10" s="334" customFormat="1" ht="15" customHeight="1">
      <c r="B1223" s="690" t="s">
        <v>442</v>
      </c>
      <c r="C1223" s="691"/>
      <c r="D1223" s="692"/>
      <c r="E1223" s="692"/>
      <c r="F1223" s="692"/>
      <c r="G1223" s="692"/>
      <c r="H1223" s="692"/>
      <c r="I1223" s="364">
        <f>I1222/C1222</f>
        <v>5.62</v>
      </c>
      <c r="J1223" s="337"/>
    </row>
    <row r="1224" spans="2:10" s="334" customFormat="1" ht="15" customHeight="1">
      <c r="B1224" s="382" t="s">
        <v>443</v>
      </c>
      <c r="C1224" s="383">
        <f>BDI!C37</f>
        <v>24.5</v>
      </c>
      <c r="D1224" s="693" t="s">
        <v>269</v>
      </c>
      <c r="E1224" s="694"/>
      <c r="F1224" s="694"/>
      <c r="G1224" s="694"/>
      <c r="H1224" s="695"/>
      <c r="I1224" s="364">
        <f>I1223/100*C1224</f>
        <v>1.38</v>
      </c>
      <c r="J1224" s="337">
        <v>5.68</v>
      </c>
    </row>
    <row r="1225" spans="2:10" s="334" customFormat="1" ht="15" customHeight="1" thickBot="1">
      <c r="B1225" s="709" t="s">
        <v>78</v>
      </c>
      <c r="C1225" s="710"/>
      <c r="D1225" s="710"/>
      <c r="E1225" s="710"/>
      <c r="F1225" s="710"/>
      <c r="G1225" s="710"/>
      <c r="H1225" s="711"/>
      <c r="I1225" s="135">
        <f>SUM(I1223:I1224)</f>
        <v>7</v>
      </c>
      <c r="J1225" s="337"/>
    </row>
    <row r="1226" spans="2:10" s="334" customFormat="1" ht="30" customHeight="1">
      <c r="B1226" s="33"/>
      <c r="C1226" s="130"/>
      <c r="D1226" s="130"/>
      <c r="E1226" s="33"/>
      <c r="F1226" s="33"/>
      <c r="G1226" s="33"/>
      <c r="H1226" s="33"/>
      <c r="I1226" s="130"/>
      <c r="J1226" s="337"/>
    </row>
    <row r="1230" spans="2:10" ht="13.5" thickBot="1"/>
    <row r="1231" spans="2:10" ht="15.75">
      <c r="B1231" s="335" t="s">
        <v>55</v>
      </c>
      <c r="C1231" s="336" t="s">
        <v>554</v>
      </c>
      <c r="D1231" s="758" t="s">
        <v>56</v>
      </c>
      <c r="E1231" s="758"/>
      <c r="F1231" s="758"/>
      <c r="G1231" s="758"/>
      <c r="H1231" s="758"/>
      <c r="I1231" s="759"/>
    </row>
    <row r="1232" spans="2:10" s="334" customFormat="1" ht="30" customHeight="1">
      <c r="B1232" s="696" t="s">
        <v>438</v>
      </c>
      <c r="C1232" s="697"/>
      <c r="D1232" s="697"/>
      <c r="E1232" s="697"/>
      <c r="F1232" s="697"/>
      <c r="G1232" s="698"/>
      <c r="H1232" s="699" t="s">
        <v>547</v>
      </c>
      <c r="I1232" s="700"/>
      <c r="J1232" s="337"/>
    </row>
    <row r="1233" spans="2:12" s="334" customFormat="1" ht="30" customHeight="1">
      <c r="B1233" s="701" t="s">
        <v>518</v>
      </c>
      <c r="C1233" s="702"/>
      <c r="D1233" s="702"/>
      <c r="E1233" s="702"/>
      <c r="F1233" s="702"/>
      <c r="G1233" s="703"/>
      <c r="H1233" s="338" t="s">
        <v>57</v>
      </c>
      <c r="I1233" s="339" t="s">
        <v>85</v>
      </c>
      <c r="J1233" s="337"/>
    </row>
    <row r="1234" spans="2:12" s="334" customFormat="1" ht="30" customHeight="1">
      <c r="B1234" s="713" t="s">
        <v>58</v>
      </c>
      <c r="C1234" s="714"/>
      <c r="D1234" s="714"/>
      <c r="E1234" s="714"/>
      <c r="F1234" s="714"/>
      <c r="G1234" s="714"/>
      <c r="H1234" s="714"/>
      <c r="I1234" s="715"/>
      <c r="J1234" s="740"/>
      <c r="K1234" s="740"/>
    </row>
    <row r="1235" spans="2:12" s="334" customFormat="1" ht="30" customHeight="1">
      <c r="B1235" s="340" t="s">
        <v>59</v>
      </c>
      <c r="C1235" s="36" t="s">
        <v>60</v>
      </c>
      <c r="D1235" s="341" t="s">
        <v>6</v>
      </c>
      <c r="E1235" s="342" t="s">
        <v>61</v>
      </c>
      <c r="F1235" s="342" t="s">
        <v>62</v>
      </c>
      <c r="G1235" s="343" t="s">
        <v>63</v>
      </c>
      <c r="H1235" s="343" t="s">
        <v>64</v>
      </c>
      <c r="I1235" s="344" t="s">
        <v>65</v>
      </c>
      <c r="J1235" s="740"/>
      <c r="K1235" s="740"/>
    </row>
    <row r="1236" spans="2:12" s="334" customFormat="1">
      <c r="B1236" s="346"/>
      <c r="C1236" s="347"/>
      <c r="D1236" s="348"/>
      <c r="E1236" s="349"/>
      <c r="F1236" s="350"/>
      <c r="G1236" s="351"/>
      <c r="H1236" s="352"/>
      <c r="I1236" s="351">
        <f>D1236*G1236</f>
        <v>0</v>
      </c>
      <c r="J1236" s="740"/>
      <c r="K1236" s="740"/>
    </row>
    <row r="1237" spans="2:12" s="345" customFormat="1">
      <c r="B1237" s="718" t="s">
        <v>69</v>
      </c>
      <c r="C1237" s="719"/>
      <c r="D1237" s="719"/>
      <c r="E1237" s="719"/>
      <c r="F1237" s="719"/>
      <c r="G1237" s="719"/>
      <c r="H1237" s="719"/>
      <c r="I1237" s="354">
        <f>SUM(I1236:I1236)</f>
        <v>0</v>
      </c>
      <c r="J1237" s="121"/>
      <c r="L1237" s="353"/>
    </row>
    <row r="1238" spans="2:12" s="345" customFormat="1" ht="15" customHeight="1">
      <c r="B1238" s="713" t="s">
        <v>70</v>
      </c>
      <c r="C1238" s="714"/>
      <c r="D1238" s="714"/>
      <c r="E1238" s="714"/>
      <c r="F1238" s="714"/>
      <c r="G1238" s="714"/>
      <c r="H1238" s="714"/>
      <c r="I1238" s="715"/>
      <c r="J1238" s="121"/>
    </row>
    <row r="1239" spans="2:12" s="334" customFormat="1" ht="30" customHeight="1">
      <c r="B1239" s="356" t="s">
        <v>59</v>
      </c>
      <c r="C1239" s="36" t="s">
        <v>60</v>
      </c>
      <c r="D1239" s="357" t="s">
        <v>6</v>
      </c>
      <c r="E1239" s="358"/>
      <c r="F1239" s="358"/>
      <c r="G1239" s="358"/>
      <c r="H1239" s="347" t="s">
        <v>71</v>
      </c>
      <c r="I1239" s="359" t="s">
        <v>65</v>
      </c>
      <c r="J1239" s="337"/>
      <c r="K1239" s="355"/>
    </row>
    <row r="1240" spans="2:12" s="334" customFormat="1" ht="14.1" customHeight="1">
      <c r="B1240" s="360" t="s">
        <v>464</v>
      </c>
      <c r="C1240" s="168" t="s">
        <v>379</v>
      </c>
      <c r="D1240" s="361">
        <v>0.12</v>
      </c>
      <c r="E1240" s="362"/>
      <c r="F1240" s="362"/>
      <c r="G1240" s="362"/>
      <c r="H1240" s="363">
        <f>INSUMOS!E81</f>
        <v>1.26</v>
      </c>
      <c r="I1240" s="364">
        <f>D1240*H1240</f>
        <v>0.15</v>
      </c>
      <c r="J1240" s="337"/>
    </row>
    <row r="1241" spans="2:12" s="345" customFormat="1" ht="15" customHeight="1">
      <c r="B1241" s="366" t="s">
        <v>465</v>
      </c>
      <c r="C1241" s="367" t="s">
        <v>94</v>
      </c>
      <c r="D1241" s="368">
        <v>0.13</v>
      </c>
      <c r="E1241" s="369"/>
      <c r="F1241" s="369"/>
      <c r="G1241" s="369"/>
      <c r="H1241" s="363">
        <f>INSUMOS!E77</f>
        <v>21.39</v>
      </c>
      <c r="I1241" s="364">
        <f>D1241*H1241</f>
        <v>2.78</v>
      </c>
      <c r="J1241" s="121"/>
      <c r="K1241" s="394"/>
    </row>
    <row r="1242" spans="2:12" s="345" customFormat="1" ht="15" customHeight="1">
      <c r="B1242" s="716" t="s">
        <v>69</v>
      </c>
      <c r="C1242" s="717"/>
      <c r="D1242" s="717"/>
      <c r="E1242" s="717"/>
      <c r="F1242" s="717"/>
      <c r="G1242" s="717"/>
      <c r="H1242" s="717"/>
      <c r="I1242" s="364">
        <f>SUM(I1240:I1241)</f>
        <v>2.93</v>
      </c>
      <c r="J1242" s="121"/>
      <c r="K1242" s="394"/>
    </row>
    <row r="1243" spans="2:12" s="345" customFormat="1" ht="15" customHeight="1">
      <c r="B1243" s="713" t="s">
        <v>72</v>
      </c>
      <c r="C1243" s="714"/>
      <c r="D1243" s="714"/>
      <c r="E1243" s="714"/>
      <c r="F1243" s="714"/>
      <c r="G1243" s="714"/>
      <c r="H1243" s="714"/>
      <c r="I1243" s="715"/>
      <c r="J1243" s="121"/>
    </row>
    <row r="1244" spans="2:12" s="334" customFormat="1" ht="30" customHeight="1">
      <c r="B1244" s="371" t="s">
        <v>59</v>
      </c>
      <c r="C1244" s="36" t="s">
        <v>60</v>
      </c>
      <c r="D1244" s="347" t="s">
        <v>6</v>
      </c>
      <c r="E1244" s="372"/>
      <c r="F1244" s="372"/>
      <c r="G1244" s="372"/>
      <c r="H1244" s="347" t="s">
        <v>71</v>
      </c>
      <c r="I1244" s="364" t="s">
        <v>65</v>
      </c>
      <c r="J1244" s="337"/>
    </row>
    <row r="1245" spans="2:12" s="334" customFormat="1" ht="15" customHeight="1">
      <c r="B1245" s="391"/>
      <c r="C1245" s="347"/>
      <c r="D1245" s="374"/>
      <c r="E1245" s="372"/>
      <c r="F1245" s="372"/>
      <c r="G1245" s="372"/>
      <c r="H1245" s="393"/>
      <c r="I1245" s="364"/>
      <c r="J1245" s="337"/>
    </row>
    <row r="1246" spans="2:12" s="334" customFormat="1" ht="15" customHeight="1">
      <c r="B1246" s="712" t="s">
        <v>69</v>
      </c>
      <c r="C1246" s="689"/>
      <c r="D1246" s="689"/>
      <c r="E1246" s="689"/>
      <c r="F1246" s="689"/>
      <c r="G1246" s="689"/>
      <c r="H1246" s="689"/>
      <c r="I1246" s="364">
        <f>SUM(I1245)</f>
        <v>0</v>
      </c>
      <c r="J1246" s="337"/>
    </row>
    <row r="1247" spans="2:12" s="334" customFormat="1" ht="15" customHeight="1">
      <c r="B1247" s="713" t="s">
        <v>74</v>
      </c>
      <c r="C1247" s="714"/>
      <c r="D1247" s="714"/>
      <c r="E1247" s="714"/>
      <c r="F1247" s="714"/>
      <c r="G1247" s="714"/>
      <c r="H1247" s="714"/>
      <c r="I1247" s="715"/>
      <c r="J1247" s="337"/>
    </row>
    <row r="1248" spans="2:12" s="334" customFormat="1" ht="30" customHeight="1">
      <c r="B1248" s="375" t="s">
        <v>59</v>
      </c>
      <c r="C1248" s="36" t="s">
        <v>60</v>
      </c>
      <c r="D1248" s="376" t="s">
        <v>6</v>
      </c>
      <c r="E1248" s="362"/>
      <c r="F1248" s="362"/>
      <c r="G1248" s="362"/>
      <c r="H1248" s="347" t="s">
        <v>71</v>
      </c>
      <c r="I1248" s="359" t="s">
        <v>65</v>
      </c>
      <c r="J1248" s="337"/>
    </row>
    <row r="1249" spans="1:10" s="334" customFormat="1" ht="14.1" customHeight="1">
      <c r="B1249" s="395" t="s">
        <v>461</v>
      </c>
      <c r="C1249" s="347" t="s">
        <v>67</v>
      </c>
      <c r="D1249" s="361">
        <v>0.59</v>
      </c>
      <c r="E1249" s="362"/>
      <c r="F1249" s="362"/>
      <c r="G1249" s="362"/>
      <c r="H1249" s="363">
        <f>INSUMOS!E20</f>
        <v>4.55</v>
      </c>
      <c r="I1249" s="364">
        <f>D1249*H1249</f>
        <v>2.68</v>
      </c>
      <c r="J1249" s="337"/>
    </row>
    <row r="1250" spans="1:10" s="334" customFormat="1" ht="14.1" customHeight="1">
      <c r="B1250" s="395" t="s">
        <v>445</v>
      </c>
      <c r="C1250" s="347" t="s">
        <v>67</v>
      </c>
      <c r="D1250" s="361">
        <v>0.19</v>
      </c>
      <c r="E1250" s="362"/>
      <c r="F1250" s="362"/>
      <c r="G1250" s="362"/>
      <c r="H1250" s="363">
        <f>INSUMOS!E15</f>
        <v>3.42</v>
      </c>
      <c r="I1250" s="364">
        <f>D1250*H1250</f>
        <v>0.65</v>
      </c>
      <c r="J1250" s="337"/>
    </row>
    <row r="1251" spans="1:10" s="334" customFormat="1" ht="14.1" customHeight="1">
      <c r="B1251" s="635" t="s">
        <v>576</v>
      </c>
      <c r="C1251" s="635"/>
      <c r="D1251" s="635"/>
      <c r="E1251" s="635"/>
      <c r="F1251" s="635"/>
      <c r="G1251" s="635"/>
      <c r="H1251" s="635"/>
      <c r="I1251" s="354">
        <f>SUM(I1249:I1250)*0.9103</f>
        <v>3.03</v>
      </c>
      <c r="J1251" s="337"/>
    </row>
    <row r="1252" spans="1:10" s="334" customFormat="1" ht="14.1" customHeight="1">
      <c r="B1252" s="712" t="s">
        <v>69</v>
      </c>
      <c r="C1252" s="689"/>
      <c r="D1252" s="689"/>
      <c r="E1252" s="689"/>
      <c r="F1252" s="689"/>
      <c r="G1252" s="689"/>
      <c r="H1252" s="689"/>
      <c r="I1252" s="354">
        <f>SUM(I1249:I1251)</f>
        <v>6.36</v>
      </c>
      <c r="J1252" s="337"/>
    </row>
    <row r="1253" spans="1:10" s="334" customFormat="1" ht="14.1" customHeight="1">
      <c r="B1253" s="380" t="s">
        <v>76</v>
      </c>
      <c r="C1253" s="381">
        <v>1</v>
      </c>
      <c r="D1253" s="689" t="s">
        <v>77</v>
      </c>
      <c r="E1253" s="689"/>
      <c r="F1253" s="689"/>
      <c r="G1253" s="689"/>
      <c r="H1253" s="689"/>
      <c r="I1253" s="354">
        <f>I1252+I1246+I1242+I1237</f>
        <v>9.2899999999999991</v>
      </c>
      <c r="J1253" s="337"/>
    </row>
    <row r="1254" spans="1:10" s="334" customFormat="1" ht="14.1" customHeight="1">
      <c r="B1254" s="690" t="s">
        <v>442</v>
      </c>
      <c r="C1254" s="691"/>
      <c r="D1254" s="692"/>
      <c r="E1254" s="692"/>
      <c r="F1254" s="692"/>
      <c r="G1254" s="692"/>
      <c r="H1254" s="692"/>
      <c r="I1254" s="364">
        <f>I1253/C1253</f>
        <v>9.2899999999999991</v>
      </c>
      <c r="J1254" s="337"/>
    </row>
    <row r="1255" spans="1:10" s="334" customFormat="1" ht="14.1" customHeight="1">
      <c r="B1255" s="382" t="s">
        <v>443</v>
      </c>
      <c r="C1255" s="383">
        <f>BDI!C37</f>
        <v>24.5</v>
      </c>
      <c r="D1255" s="693" t="s">
        <v>269</v>
      </c>
      <c r="E1255" s="694"/>
      <c r="F1255" s="694"/>
      <c r="G1255" s="694"/>
      <c r="H1255" s="695"/>
      <c r="I1255" s="364">
        <f>I1254/100*C1255</f>
        <v>2.2799999999999998</v>
      </c>
      <c r="J1255" s="337">
        <v>9.69</v>
      </c>
    </row>
    <row r="1256" spans="1:10" s="334" customFormat="1" ht="14.1" customHeight="1" thickBot="1">
      <c r="B1256" s="709" t="s">
        <v>78</v>
      </c>
      <c r="C1256" s="710"/>
      <c r="D1256" s="710"/>
      <c r="E1256" s="710"/>
      <c r="F1256" s="710"/>
      <c r="G1256" s="710"/>
      <c r="H1256" s="711"/>
      <c r="I1256" s="135">
        <f>SUM(I1254:I1255)</f>
        <v>11.57</v>
      </c>
      <c r="J1256" s="337"/>
    </row>
    <row r="1257" spans="1:10" s="334" customFormat="1" ht="30" customHeight="1">
      <c r="B1257" s="33"/>
      <c r="C1257" s="130"/>
      <c r="D1257" s="130"/>
      <c r="E1257" s="33"/>
      <c r="F1257" s="33"/>
      <c r="G1257" s="33"/>
      <c r="H1257" s="33"/>
      <c r="I1257" s="130"/>
      <c r="J1257" s="337"/>
    </row>
    <row r="1258" spans="1:10" ht="13.5" thickBot="1"/>
    <row r="1259" spans="1:10" ht="15.75">
      <c r="B1259" s="200" t="s">
        <v>55</v>
      </c>
      <c r="C1259" s="474" t="str">
        <f>'Planilha Orçamentária'!B75</f>
        <v>4.12</v>
      </c>
      <c r="D1259" s="639" t="s">
        <v>56</v>
      </c>
      <c r="E1259" s="639"/>
      <c r="F1259" s="639"/>
      <c r="G1259" s="639"/>
      <c r="H1259" s="639"/>
      <c r="I1259" s="639"/>
    </row>
    <row r="1260" spans="1:10" ht="30" customHeight="1">
      <c r="B1260" s="640" t="s">
        <v>332</v>
      </c>
      <c r="C1260" s="641"/>
      <c r="D1260" s="641"/>
      <c r="E1260" s="641"/>
      <c r="F1260" s="641"/>
      <c r="G1260" s="642"/>
      <c r="H1260" s="643" t="s">
        <v>700</v>
      </c>
      <c r="I1260" s="644"/>
    </row>
    <row r="1261" spans="1:10" s="127" customFormat="1" ht="30" customHeight="1">
      <c r="B1261" s="625" t="s">
        <v>545</v>
      </c>
      <c r="C1261" s="625"/>
      <c r="D1261" s="625"/>
      <c r="E1261" s="625"/>
      <c r="F1261" s="625"/>
      <c r="G1261" s="625"/>
      <c r="H1261" s="34" t="s">
        <v>57</v>
      </c>
      <c r="I1261" s="126" t="s">
        <v>379</v>
      </c>
    </row>
    <row r="1262" spans="1:10" ht="30" customHeight="1">
      <c r="B1262" s="626" t="s">
        <v>58</v>
      </c>
      <c r="C1262" s="626"/>
      <c r="D1262" s="626"/>
      <c r="E1262" s="626"/>
      <c r="F1262" s="626"/>
      <c r="G1262" s="626"/>
      <c r="H1262" s="626"/>
      <c r="I1262" s="626"/>
    </row>
    <row r="1263" spans="1:10" s="127" customFormat="1" ht="30" customHeight="1">
      <c r="B1263" s="35" t="s">
        <v>59</v>
      </c>
      <c r="C1263" s="172" t="s">
        <v>5</v>
      </c>
      <c r="D1263" s="36" t="s">
        <v>6</v>
      </c>
      <c r="E1263" s="36" t="s">
        <v>61</v>
      </c>
      <c r="F1263" s="36" t="s">
        <v>62</v>
      </c>
      <c r="G1263" s="36" t="s">
        <v>63</v>
      </c>
      <c r="H1263" s="36" t="s">
        <v>64</v>
      </c>
      <c r="I1263" s="37" t="s">
        <v>65</v>
      </c>
    </row>
    <row r="1264" spans="1:10">
      <c r="A1264" s="93"/>
      <c r="B1264" s="97" t="s">
        <v>125</v>
      </c>
      <c r="C1264" s="88" t="s">
        <v>67</v>
      </c>
      <c r="D1264" s="89">
        <v>1</v>
      </c>
      <c r="E1264" s="47"/>
      <c r="F1264" s="47"/>
      <c r="G1264" s="56">
        <f>INSUMOS!E58</f>
        <v>2.94</v>
      </c>
      <c r="I1264" s="90">
        <f>G1264*D1264</f>
        <v>2.94</v>
      </c>
    </row>
    <row r="1265" spans="2:10" ht="15.95" customHeight="1">
      <c r="B1265" s="628" t="s">
        <v>69</v>
      </c>
      <c r="C1265" s="628"/>
      <c r="D1265" s="628"/>
      <c r="E1265" s="628"/>
      <c r="F1265" s="628"/>
      <c r="G1265" s="628"/>
      <c r="H1265" s="628"/>
      <c r="I1265" s="95">
        <f>SUM(I1264:I1264)</f>
        <v>2.94</v>
      </c>
      <c r="J1265" s="105"/>
    </row>
    <row r="1266" spans="2:10" ht="15.95" customHeight="1">
      <c r="B1266" s="626" t="s">
        <v>70</v>
      </c>
      <c r="C1266" s="626"/>
      <c r="D1266" s="626"/>
      <c r="E1266" s="626"/>
      <c r="F1266" s="626"/>
      <c r="G1266" s="626"/>
      <c r="H1266" s="626"/>
      <c r="I1266" s="626"/>
    </row>
    <row r="1267" spans="2:10" s="127" customFormat="1" ht="30" customHeight="1">
      <c r="B1267" s="96" t="s">
        <v>59</v>
      </c>
      <c r="C1267" s="180" t="s">
        <v>5</v>
      </c>
      <c r="D1267" s="40" t="s">
        <v>6</v>
      </c>
      <c r="E1267" s="42"/>
      <c r="F1267" s="42"/>
      <c r="G1267" s="42"/>
      <c r="H1267" s="40" t="s">
        <v>71</v>
      </c>
      <c r="I1267" s="43" t="s">
        <v>65</v>
      </c>
    </row>
    <row r="1268" spans="2:10" ht="15.95" customHeight="1">
      <c r="B1268" s="97" t="s">
        <v>150</v>
      </c>
      <c r="C1268" s="47" t="s">
        <v>27</v>
      </c>
      <c r="D1268" s="71">
        <v>0.5</v>
      </c>
      <c r="E1268" s="46"/>
      <c r="F1268" s="46"/>
      <c r="G1268" s="46"/>
      <c r="H1268" s="56">
        <f>INSUMOS!E78</f>
        <v>7.93</v>
      </c>
      <c r="I1268" s="90">
        <f>H1268*D1268</f>
        <v>3.97</v>
      </c>
    </row>
    <row r="1269" spans="2:10" ht="15.95" customHeight="1">
      <c r="B1269" s="97" t="s">
        <v>151</v>
      </c>
      <c r="C1269" s="47" t="s">
        <v>85</v>
      </c>
      <c r="D1269" s="71">
        <v>0.84</v>
      </c>
      <c r="E1269" s="46"/>
      <c r="F1269" s="46"/>
      <c r="G1269" s="46"/>
      <c r="H1269" s="56">
        <f>INSUMOS!E89</f>
        <v>15.41</v>
      </c>
      <c r="I1269" s="90">
        <f>H1269*D1269</f>
        <v>12.94</v>
      </c>
    </row>
    <row r="1270" spans="2:10" ht="15.95" customHeight="1">
      <c r="B1270" s="103" t="s">
        <v>152</v>
      </c>
      <c r="C1270" s="47" t="s">
        <v>88</v>
      </c>
      <c r="D1270" s="71">
        <v>0.3</v>
      </c>
      <c r="E1270" s="46"/>
      <c r="F1270" s="46"/>
      <c r="G1270" s="46"/>
      <c r="H1270" s="56">
        <f>INSUMOS!E67</f>
        <v>8.5</v>
      </c>
      <c r="I1270" s="90">
        <f>H1270*D1270</f>
        <v>2.5499999999999998</v>
      </c>
    </row>
    <row r="1271" spans="2:10" ht="15.95" customHeight="1">
      <c r="B1271" s="103" t="s">
        <v>147</v>
      </c>
      <c r="C1271" s="47" t="s">
        <v>88</v>
      </c>
      <c r="D1271" s="71">
        <v>150</v>
      </c>
      <c r="E1271" s="46"/>
      <c r="F1271" s="46"/>
      <c r="G1271" s="47"/>
      <c r="H1271" s="56">
        <f>INSUMOS!E40</f>
        <v>0.5</v>
      </c>
      <c r="I1271" s="90">
        <f>H1271*D1271</f>
        <v>75</v>
      </c>
    </row>
    <row r="1272" spans="2:10" ht="15.95" customHeight="1">
      <c r="B1272" s="38" t="s">
        <v>148</v>
      </c>
      <c r="C1272" s="47" t="s">
        <v>32</v>
      </c>
      <c r="D1272" s="71">
        <v>0.1</v>
      </c>
      <c r="E1272" s="46"/>
      <c r="F1272" s="46"/>
      <c r="G1272" s="46"/>
      <c r="H1272" s="56">
        <f>INSUMOS!E41</f>
        <v>68.13</v>
      </c>
      <c r="I1272" s="90">
        <f t="shared" ref="I1272:I1277" si="3">H1272*D1272</f>
        <v>6.81</v>
      </c>
    </row>
    <row r="1273" spans="2:10" ht="15.95" customHeight="1">
      <c r="B1273" s="38" t="s">
        <v>153</v>
      </c>
      <c r="C1273" s="47" t="s">
        <v>88</v>
      </c>
      <c r="D1273" s="71">
        <v>2.5</v>
      </c>
      <c r="E1273" s="46"/>
      <c r="F1273" s="46"/>
      <c r="G1273" s="46"/>
      <c r="H1273" s="56">
        <f>INSUMOS!E69</f>
        <v>0.89</v>
      </c>
      <c r="I1273" s="90">
        <f t="shared" si="3"/>
        <v>2.23</v>
      </c>
    </row>
    <row r="1274" spans="2:10" ht="15.95" customHeight="1">
      <c r="B1274" s="38" t="s">
        <v>154</v>
      </c>
      <c r="C1274" s="85" t="s">
        <v>379</v>
      </c>
      <c r="D1274" s="71">
        <v>120</v>
      </c>
      <c r="E1274" s="46"/>
      <c r="F1274" s="46"/>
      <c r="G1274" s="46"/>
      <c r="H1274" s="56">
        <f>INSUMOS!E59</f>
        <v>0.45</v>
      </c>
      <c r="I1274" s="90">
        <f t="shared" si="3"/>
        <v>54</v>
      </c>
    </row>
    <row r="1275" spans="2:10" ht="15.95" customHeight="1">
      <c r="B1275" s="38" t="s">
        <v>155</v>
      </c>
      <c r="C1275" s="47" t="s">
        <v>32</v>
      </c>
      <c r="D1275" s="71">
        <v>0.35</v>
      </c>
      <c r="E1275" s="46"/>
      <c r="F1275" s="46"/>
      <c r="G1275" s="46"/>
      <c r="H1275" s="56">
        <f>INSUMOS!E45</f>
        <v>70</v>
      </c>
      <c r="I1275" s="90">
        <f t="shared" si="3"/>
        <v>24.5</v>
      </c>
    </row>
    <row r="1276" spans="2:10" ht="15.95" customHeight="1">
      <c r="B1276" s="38" t="s">
        <v>560</v>
      </c>
      <c r="C1276" s="85" t="s">
        <v>379</v>
      </c>
      <c r="D1276" s="71">
        <v>1</v>
      </c>
      <c r="E1276" s="46"/>
      <c r="F1276" s="46"/>
      <c r="G1276" s="46"/>
      <c r="H1276" s="56">
        <f>INSUMOS!E72</f>
        <v>13.63</v>
      </c>
      <c r="I1276" s="90">
        <f t="shared" si="3"/>
        <v>13.63</v>
      </c>
    </row>
    <row r="1277" spans="2:10" ht="15.95" customHeight="1">
      <c r="B1277" s="38" t="s">
        <v>157</v>
      </c>
      <c r="C1277" s="47" t="s">
        <v>94</v>
      </c>
      <c r="D1277" s="71">
        <v>0.02</v>
      </c>
      <c r="E1277" s="46"/>
      <c r="F1277" s="46"/>
      <c r="G1277" s="46"/>
      <c r="H1277" s="56">
        <f>INSUMOS!E75</f>
        <v>9.2100000000000009</v>
      </c>
      <c r="I1277" s="90">
        <f t="shared" si="3"/>
        <v>0.18</v>
      </c>
    </row>
    <row r="1278" spans="2:10" ht="15.95" customHeight="1">
      <c r="B1278" s="38" t="s">
        <v>158</v>
      </c>
      <c r="C1278" s="47" t="s">
        <v>88</v>
      </c>
      <c r="D1278" s="71">
        <v>0.8</v>
      </c>
      <c r="E1278" s="46"/>
      <c r="F1278" s="46"/>
      <c r="G1278" s="46"/>
      <c r="H1278" s="56">
        <f>INSUMOS!E34</f>
        <v>6.51</v>
      </c>
      <c r="I1278" s="90">
        <f>H1278*D1278</f>
        <v>5.21</v>
      </c>
    </row>
    <row r="1279" spans="2:10" ht="15.95" customHeight="1">
      <c r="B1279" s="628" t="s">
        <v>69</v>
      </c>
      <c r="C1279" s="628"/>
      <c r="D1279" s="628"/>
      <c r="E1279" s="628"/>
      <c r="F1279" s="628"/>
      <c r="G1279" s="628"/>
      <c r="H1279" s="628"/>
      <c r="I1279" s="90">
        <f>SUM(I1268:I1278)</f>
        <v>201.02</v>
      </c>
    </row>
    <row r="1280" spans="2:10" ht="15.95" customHeight="1">
      <c r="B1280" s="626" t="s">
        <v>72</v>
      </c>
      <c r="C1280" s="626"/>
      <c r="D1280" s="626"/>
      <c r="E1280" s="626"/>
      <c r="F1280" s="626"/>
      <c r="G1280" s="626"/>
      <c r="H1280" s="626"/>
      <c r="I1280" s="626"/>
    </row>
    <row r="1281" spans="2:10" s="127" customFormat="1" ht="30" customHeight="1">
      <c r="B1281" s="45" t="s">
        <v>59</v>
      </c>
      <c r="C1281" s="71" t="s">
        <v>5</v>
      </c>
      <c r="D1281" s="47" t="s">
        <v>6</v>
      </c>
      <c r="E1281" s="46"/>
      <c r="F1281" s="46"/>
      <c r="G1281" s="46"/>
      <c r="H1281" s="47" t="s">
        <v>71</v>
      </c>
      <c r="I1281" s="43" t="s">
        <v>65</v>
      </c>
    </row>
    <row r="1282" spans="2:10" ht="25.5">
      <c r="B1282" s="84" t="s">
        <v>564</v>
      </c>
      <c r="C1282" s="47" t="s">
        <v>32</v>
      </c>
      <c r="D1282" s="47">
        <f>3.6*1.8*0.1</f>
        <v>0.65</v>
      </c>
      <c r="E1282" s="46"/>
      <c r="F1282" s="46"/>
      <c r="G1282" s="46"/>
      <c r="H1282" s="47">
        <v>372.68</v>
      </c>
      <c r="I1282" s="90">
        <f>D1282*H1282</f>
        <v>242.24</v>
      </c>
    </row>
    <row r="1283" spans="2:10">
      <c r="B1283" s="628" t="s">
        <v>69</v>
      </c>
      <c r="C1283" s="628"/>
      <c r="D1283" s="628"/>
      <c r="E1283" s="628"/>
      <c r="F1283" s="628"/>
      <c r="G1283" s="628"/>
      <c r="H1283" s="628"/>
      <c r="I1283" s="90">
        <f>SUM(I1282:I1282)</f>
        <v>242.24</v>
      </c>
      <c r="J1283" s="33" t="s">
        <v>565</v>
      </c>
    </row>
    <row r="1284" spans="2:10">
      <c r="B1284" s="626" t="s">
        <v>74</v>
      </c>
      <c r="C1284" s="626"/>
      <c r="D1284" s="626"/>
      <c r="E1284" s="626"/>
      <c r="F1284" s="626"/>
      <c r="G1284" s="626"/>
      <c r="H1284" s="626"/>
      <c r="I1284" s="626"/>
    </row>
    <row r="1285" spans="2:10" s="127" customFormat="1" ht="30" customHeight="1">
      <c r="B1285" s="96" t="s">
        <v>59</v>
      </c>
      <c r="C1285" s="180" t="s">
        <v>5</v>
      </c>
      <c r="D1285" s="110" t="s">
        <v>6</v>
      </c>
      <c r="E1285" s="42"/>
      <c r="F1285" s="42"/>
      <c r="G1285" s="42"/>
      <c r="H1285" s="40" t="s">
        <v>71</v>
      </c>
      <c r="I1285" s="43" t="s">
        <v>65</v>
      </c>
    </row>
    <row r="1286" spans="2:10" ht="15.95" customHeight="1">
      <c r="B1286" s="53" t="s">
        <v>75</v>
      </c>
      <c r="C1286" s="71" t="s">
        <v>67</v>
      </c>
      <c r="D1286" s="47">
        <v>10</v>
      </c>
      <c r="E1286" s="46"/>
      <c r="F1286" s="46"/>
      <c r="G1286" s="46"/>
      <c r="H1286" s="56">
        <f>INSUMOS!E14</f>
        <v>3.42</v>
      </c>
      <c r="I1286" s="90">
        <f>H1286*D1286</f>
        <v>34.200000000000003</v>
      </c>
    </row>
    <row r="1287" spans="2:10" ht="15.95" customHeight="1">
      <c r="B1287" s="106" t="s">
        <v>149</v>
      </c>
      <c r="C1287" s="415" t="s">
        <v>67</v>
      </c>
      <c r="D1287" s="47">
        <v>7</v>
      </c>
      <c r="E1287" s="46"/>
      <c r="F1287" s="46"/>
      <c r="G1287" s="46"/>
      <c r="H1287" s="56">
        <f>INSUMOS!E19</f>
        <v>4.55</v>
      </c>
      <c r="I1287" s="90">
        <f>H1287*D1287</f>
        <v>31.85</v>
      </c>
    </row>
    <row r="1288" spans="2:10" ht="15.95" customHeight="1">
      <c r="B1288" s="635" t="s">
        <v>576</v>
      </c>
      <c r="C1288" s="635"/>
      <c r="D1288" s="635"/>
      <c r="E1288" s="635"/>
      <c r="F1288" s="635"/>
      <c r="G1288" s="635"/>
      <c r="H1288" s="635"/>
      <c r="I1288" s="90">
        <f>SUM(I1286:I1287)*0.9103</f>
        <v>60.13</v>
      </c>
    </row>
    <row r="1289" spans="2:10" ht="15.95" customHeight="1">
      <c r="B1289" s="628" t="s">
        <v>69</v>
      </c>
      <c r="C1289" s="628"/>
      <c r="D1289" s="628"/>
      <c r="E1289" s="628"/>
      <c r="F1289" s="628"/>
      <c r="G1289" s="628"/>
      <c r="H1289" s="628"/>
      <c r="I1289" s="95">
        <f>SUM(I1286:I1288)</f>
        <v>126.18</v>
      </c>
    </row>
    <row r="1290" spans="2:10" ht="15.95" customHeight="1">
      <c r="B1290" s="54" t="s">
        <v>76</v>
      </c>
      <c r="C1290" s="47">
        <v>1</v>
      </c>
      <c r="D1290" s="652" t="s">
        <v>77</v>
      </c>
      <c r="E1290" s="652"/>
      <c r="F1290" s="652"/>
      <c r="G1290" s="652"/>
      <c r="H1290" s="652"/>
      <c r="I1290" s="95">
        <f>I1289+I1283+I1279+I1265</f>
        <v>572.38</v>
      </c>
    </row>
    <row r="1291" spans="2:10" ht="15.95" customHeight="1">
      <c r="B1291" s="632"/>
      <c r="C1291" s="633"/>
      <c r="D1291" s="633"/>
      <c r="E1291" s="633"/>
      <c r="F1291" s="633"/>
      <c r="G1291" s="633"/>
      <c r="H1291" s="634"/>
      <c r="I1291" s="95">
        <f>I1290/C1290</f>
        <v>572.38</v>
      </c>
    </row>
    <row r="1292" spans="2:10" ht="15.95" customHeight="1">
      <c r="B1292" s="139" t="s">
        <v>334</v>
      </c>
      <c r="C1292" s="145">
        <f>BDI!C37</f>
        <v>24.5</v>
      </c>
      <c r="D1292" s="146" t="s">
        <v>269</v>
      </c>
      <c r="E1292" s="136"/>
      <c r="F1292" s="136"/>
      <c r="G1292" s="136"/>
      <c r="H1292" s="137"/>
      <c r="I1292" s="90">
        <f>C1292/100*I1291</f>
        <v>140.22999999999999</v>
      </c>
    </row>
    <row r="1293" spans="2:10" ht="15.95" customHeight="1" thickBot="1">
      <c r="B1293" s="627" t="s">
        <v>78</v>
      </c>
      <c r="C1293" s="627"/>
      <c r="D1293" s="627"/>
      <c r="E1293" s="627"/>
      <c r="F1293" s="627"/>
      <c r="G1293" s="627"/>
      <c r="H1293" s="627"/>
      <c r="I1293" s="135">
        <f>SUM(I1291:I1292)</f>
        <v>712.61</v>
      </c>
    </row>
    <row r="1294" spans="2:10" ht="30" customHeight="1"/>
    <row r="1298" spans="1:9" ht="13.5" thickBot="1"/>
    <row r="1299" spans="1:9" ht="15.75">
      <c r="B1299" s="277" t="s">
        <v>55</v>
      </c>
      <c r="C1299" s="474" t="str">
        <f>'Planilha Orçamentária'!B76</f>
        <v>4.13</v>
      </c>
      <c r="D1299" s="669" t="s">
        <v>56</v>
      </c>
      <c r="E1299" s="669"/>
      <c r="F1299" s="669"/>
      <c r="G1299" s="669"/>
      <c r="H1299" s="669"/>
      <c r="I1299" s="670"/>
    </row>
    <row r="1300" spans="1:9" s="127" customFormat="1" ht="30" customHeight="1">
      <c r="B1300" s="666" t="s">
        <v>383</v>
      </c>
      <c r="C1300" s="656"/>
      <c r="D1300" s="656"/>
      <c r="E1300" s="656"/>
      <c r="F1300" s="656"/>
      <c r="G1300" s="657"/>
      <c r="H1300" s="643" t="s">
        <v>700</v>
      </c>
      <c r="I1300" s="667"/>
    </row>
    <row r="1301" spans="1:9" s="127" customFormat="1" ht="30" customHeight="1">
      <c r="B1301" s="664" t="s">
        <v>473</v>
      </c>
      <c r="C1301" s="625"/>
      <c r="D1301" s="625"/>
      <c r="E1301" s="625"/>
      <c r="F1301" s="625"/>
      <c r="G1301" s="625"/>
      <c r="H1301" s="34" t="s">
        <v>57</v>
      </c>
      <c r="I1301" s="211" t="s">
        <v>379</v>
      </c>
    </row>
    <row r="1302" spans="1:9" s="127" customFormat="1" ht="30" customHeight="1">
      <c r="B1302" s="629" t="s">
        <v>58</v>
      </c>
      <c r="C1302" s="626"/>
      <c r="D1302" s="626"/>
      <c r="E1302" s="626"/>
      <c r="F1302" s="626"/>
      <c r="G1302" s="626"/>
      <c r="H1302" s="626"/>
      <c r="I1302" s="630"/>
    </row>
    <row r="1303" spans="1:9" s="127" customFormat="1" ht="30" customHeight="1">
      <c r="B1303" s="212" t="s">
        <v>59</v>
      </c>
      <c r="C1303" s="172" t="s">
        <v>5</v>
      </c>
      <c r="D1303" s="36" t="s">
        <v>6</v>
      </c>
      <c r="E1303" s="36" t="s">
        <v>61</v>
      </c>
      <c r="F1303" s="36" t="s">
        <v>62</v>
      </c>
      <c r="G1303" s="36" t="s">
        <v>63</v>
      </c>
      <c r="H1303" s="36" t="s">
        <v>64</v>
      </c>
      <c r="I1303" s="213" t="s">
        <v>65</v>
      </c>
    </row>
    <row r="1304" spans="1:9">
      <c r="A1304" s="93"/>
      <c r="B1304" s="400"/>
      <c r="C1304" s="401"/>
      <c r="D1304" s="402"/>
      <c r="E1304" s="276"/>
      <c r="F1304" s="49"/>
      <c r="G1304" s="49"/>
      <c r="H1304" s="49"/>
      <c r="I1304" s="278">
        <f>D1304*G1304</f>
        <v>0</v>
      </c>
    </row>
    <row r="1305" spans="1:9" ht="15" customHeight="1">
      <c r="B1305" s="631" t="s">
        <v>69</v>
      </c>
      <c r="C1305" s="628"/>
      <c r="D1305" s="628"/>
      <c r="E1305" s="628"/>
      <c r="F1305" s="628"/>
      <c r="G1305" s="628"/>
      <c r="H1305" s="628"/>
      <c r="I1305" s="228">
        <f>SUM(I1304:I1304)</f>
        <v>0</v>
      </c>
    </row>
    <row r="1306" spans="1:9" ht="15.95" customHeight="1">
      <c r="B1306" s="629" t="s">
        <v>70</v>
      </c>
      <c r="C1306" s="626"/>
      <c r="D1306" s="626"/>
      <c r="E1306" s="626"/>
      <c r="F1306" s="626"/>
      <c r="G1306" s="626"/>
      <c r="H1306" s="626"/>
      <c r="I1306" s="630"/>
    </row>
    <row r="1307" spans="1:9" s="127" customFormat="1" ht="30" customHeight="1">
      <c r="B1307" s="229" t="s">
        <v>59</v>
      </c>
      <c r="C1307" s="78" t="s">
        <v>5</v>
      </c>
      <c r="D1307" s="40" t="s">
        <v>6</v>
      </c>
      <c r="E1307" s="42"/>
      <c r="F1307" s="42"/>
      <c r="G1307" s="42"/>
      <c r="H1307" s="40" t="s">
        <v>71</v>
      </c>
      <c r="I1307" s="215" t="s">
        <v>65</v>
      </c>
    </row>
    <row r="1308" spans="1:9">
      <c r="B1308" s="400" t="s">
        <v>471</v>
      </c>
      <c r="C1308" s="401" t="s">
        <v>32</v>
      </c>
      <c r="D1308" s="405">
        <f>3.14*(1.27*1.27)*2.1-3.14*(1.02*1.02)*2.1</f>
        <v>3.78</v>
      </c>
      <c r="E1308" s="46"/>
      <c r="F1308" s="46"/>
      <c r="G1308" s="46"/>
      <c r="H1308" s="237">
        <f>INSUMOS!E43</f>
        <v>53.32</v>
      </c>
      <c r="I1308" s="232">
        <f>H1308*D1308</f>
        <v>201.55</v>
      </c>
    </row>
    <row r="1309" spans="1:9" ht="15" customHeight="1">
      <c r="B1309" s="400" t="s">
        <v>474</v>
      </c>
      <c r="C1309" s="408" t="s">
        <v>88</v>
      </c>
      <c r="D1309" s="409">
        <v>17</v>
      </c>
      <c r="E1309" s="236"/>
      <c r="F1309" s="236"/>
      <c r="G1309" s="236"/>
      <c r="H1309" s="237">
        <f>INSUMOS!E40</f>
        <v>0.5</v>
      </c>
      <c r="I1309" s="232">
        <f>H1309*D1309</f>
        <v>8.5</v>
      </c>
    </row>
    <row r="1310" spans="1:9" ht="15" customHeight="1">
      <c r="B1310" s="400" t="s">
        <v>155</v>
      </c>
      <c r="C1310" s="408" t="s">
        <v>32</v>
      </c>
      <c r="D1310" s="409">
        <v>0.06</v>
      </c>
      <c r="E1310" s="236"/>
      <c r="F1310" s="236"/>
      <c r="G1310" s="236"/>
      <c r="H1310" s="237">
        <f>INSUMOS!E45</f>
        <v>70</v>
      </c>
      <c r="I1310" s="232">
        <f>H1310*D1310</f>
        <v>4.2</v>
      </c>
    </row>
    <row r="1311" spans="1:9" ht="15" customHeight="1">
      <c r="B1311" s="400" t="s">
        <v>475</v>
      </c>
      <c r="C1311" s="408" t="s">
        <v>32</v>
      </c>
      <c r="D1311" s="409">
        <v>0.11</v>
      </c>
      <c r="E1311" s="236"/>
      <c r="F1311" s="236"/>
      <c r="G1311" s="236"/>
      <c r="H1311" s="237">
        <f>INSUMOS!E41</f>
        <v>68.13</v>
      </c>
      <c r="I1311" s="232">
        <f>H1311*D1311</f>
        <v>7.49</v>
      </c>
    </row>
    <row r="1312" spans="1:9" ht="15" customHeight="1">
      <c r="B1312" s="631" t="s">
        <v>69</v>
      </c>
      <c r="C1312" s="628"/>
      <c r="D1312" s="665"/>
      <c r="E1312" s="628"/>
      <c r="F1312" s="628"/>
      <c r="G1312" s="628"/>
      <c r="H1312" s="628"/>
      <c r="I1312" s="232">
        <f>SUM(I1308:I1311)</f>
        <v>221.74</v>
      </c>
    </row>
    <row r="1313" spans="2:12" ht="14.25" customHeight="1">
      <c r="B1313" s="629" t="s">
        <v>72</v>
      </c>
      <c r="C1313" s="626"/>
      <c r="D1313" s="626"/>
      <c r="E1313" s="626"/>
      <c r="F1313" s="626"/>
      <c r="G1313" s="626"/>
      <c r="H1313" s="626"/>
      <c r="I1313" s="630"/>
    </row>
    <row r="1314" spans="2:12" s="127" customFormat="1" ht="30" customHeight="1">
      <c r="B1314" s="280" t="s">
        <v>59</v>
      </c>
      <c r="C1314" s="71" t="s">
        <v>5</v>
      </c>
      <c r="D1314" s="47" t="s">
        <v>6</v>
      </c>
      <c r="E1314" s="46"/>
      <c r="F1314" s="46"/>
      <c r="G1314" s="46"/>
      <c r="H1314" s="47" t="s">
        <v>71</v>
      </c>
      <c r="I1314" s="215" t="s">
        <v>65</v>
      </c>
    </row>
    <row r="1315" spans="2:12" ht="25.5">
      <c r="B1315" s="403" t="s">
        <v>472</v>
      </c>
      <c r="C1315" s="401" t="s">
        <v>32</v>
      </c>
      <c r="D1315" s="402">
        <f>0.3*D1308</f>
        <v>1.1339999999999999</v>
      </c>
      <c r="E1315" s="46"/>
      <c r="F1315" s="46"/>
      <c r="G1315" s="46"/>
      <c r="H1315" s="237">
        <f>I358</f>
        <v>326.27</v>
      </c>
      <c r="I1315" s="232">
        <f>D1315*H1315</f>
        <v>369.99</v>
      </c>
    </row>
    <row r="1316" spans="2:12" ht="27" customHeight="1">
      <c r="B1316" s="403" t="s">
        <v>490</v>
      </c>
      <c r="C1316" s="406" t="s">
        <v>32</v>
      </c>
      <c r="D1316" s="402">
        <f>2*3.14*1.27*1.5*0.02</f>
        <v>0.23930000000000001</v>
      </c>
      <c r="E1316" s="236"/>
      <c r="F1316" s="236"/>
      <c r="G1316" s="236"/>
      <c r="H1316" s="237">
        <f>I1358</f>
        <v>348.51</v>
      </c>
      <c r="I1316" s="232">
        <f>D1316*H1316</f>
        <v>83.4</v>
      </c>
      <c r="K1316" s="33">
        <f>3.14*(1.32*1.32)*1.5</f>
        <v>8.2100000000000009</v>
      </c>
    </row>
    <row r="1317" spans="2:12" ht="16.5" customHeight="1">
      <c r="B1317" s="403" t="s">
        <v>491</v>
      </c>
      <c r="C1317" s="406" t="s">
        <v>32</v>
      </c>
      <c r="D1317" s="407">
        <f>3.14*1.02*1.02*1.5</f>
        <v>4.9002999999999997</v>
      </c>
      <c r="E1317" s="236"/>
      <c r="F1317" s="236"/>
      <c r="G1317" s="236"/>
      <c r="H1317" s="237">
        <f>INSUMOS!E47</f>
        <v>36</v>
      </c>
      <c r="I1317" s="232">
        <f>D1317*H1317</f>
        <v>176.41</v>
      </c>
    </row>
    <row r="1318" spans="2:12" ht="15.75" customHeight="1">
      <c r="B1318" s="403" t="s">
        <v>462</v>
      </c>
      <c r="C1318" s="406" t="s">
        <v>32</v>
      </c>
      <c r="D1318" s="407">
        <f>3.14*(1.27*1.27)*0.65-3.14*(1.02*1.02)*0.65</f>
        <v>1.1685000000000001</v>
      </c>
      <c r="E1318" s="236"/>
      <c r="F1318" s="236"/>
      <c r="G1318" s="236"/>
      <c r="H1318" s="237">
        <f>I1017</f>
        <v>16.98</v>
      </c>
      <c r="I1318" s="232">
        <f>D1318*H1318</f>
        <v>19.84</v>
      </c>
      <c r="K1318" s="33">
        <f>2*3.14*1.32</f>
        <v>8.2899999999999991</v>
      </c>
      <c r="L1318" s="33">
        <f>K1318*1.5*0.02</f>
        <v>0.25</v>
      </c>
    </row>
    <row r="1319" spans="2:12" ht="27" customHeight="1">
      <c r="B1319" s="403" t="s">
        <v>514</v>
      </c>
      <c r="C1319" s="406" t="s">
        <v>32</v>
      </c>
      <c r="D1319" s="407">
        <f>3.14*(1.27*1.27)*0.05</f>
        <v>0.25319999999999998</v>
      </c>
      <c r="E1319" s="236"/>
      <c r="F1319" s="236"/>
      <c r="G1319" s="236"/>
      <c r="H1319" s="237">
        <f>I620</f>
        <v>460.32</v>
      </c>
      <c r="I1319" s="232">
        <f>D1319*H1319</f>
        <v>116.55</v>
      </c>
    </row>
    <row r="1320" spans="2:12" ht="27" customHeight="1">
      <c r="B1320" s="631" t="s">
        <v>69</v>
      </c>
      <c r="C1320" s="628"/>
      <c r="D1320" s="628"/>
      <c r="E1320" s="628"/>
      <c r="F1320" s="628"/>
      <c r="G1320" s="628"/>
      <c r="H1320" s="628"/>
      <c r="I1320" s="232">
        <f>SUM(I1315:I1319)</f>
        <v>766.19</v>
      </c>
    </row>
    <row r="1321" spans="2:12" ht="15" customHeight="1">
      <c r="B1321" s="629" t="s">
        <v>74</v>
      </c>
      <c r="C1321" s="626"/>
      <c r="D1321" s="626"/>
      <c r="E1321" s="626"/>
      <c r="F1321" s="626"/>
      <c r="G1321" s="626"/>
      <c r="H1321" s="626"/>
      <c r="I1321" s="630"/>
    </row>
    <row r="1322" spans="2:12" s="127" customFormat="1" ht="30" customHeight="1">
      <c r="B1322" s="291" t="s">
        <v>59</v>
      </c>
      <c r="C1322" s="180" t="s">
        <v>5</v>
      </c>
      <c r="D1322" s="144" t="s">
        <v>6</v>
      </c>
      <c r="E1322" s="46"/>
      <c r="F1322" s="46"/>
      <c r="G1322" s="46"/>
      <c r="H1322" s="47" t="s">
        <v>71</v>
      </c>
      <c r="I1322" s="232" t="s">
        <v>65</v>
      </c>
      <c r="K1322" s="127">
        <f>3.14*(1.02*1.02)*1.5</f>
        <v>4.9000000000000004</v>
      </c>
    </row>
    <row r="1323" spans="2:12" ht="15.95" customHeight="1">
      <c r="B1323" s="404" t="s">
        <v>149</v>
      </c>
      <c r="C1323" s="401" t="s">
        <v>67</v>
      </c>
      <c r="D1323" s="402">
        <f>5.5*2</f>
        <v>11</v>
      </c>
      <c r="E1323" s="282"/>
      <c r="F1323" s="42"/>
      <c r="G1323" s="42"/>
      <c r="H1323" s="56">
        <f>INSUMOS!E19</f>
        <v>4.55</v>
      </c>
      <c r="I1323" s="232">
        <f>H1323*D1323</f>
        <v>50.05</v>
      </c>
      <c r="K1323" s="33">
        <f>K1316-K1322</f>
        <v>3.31</v>
      </c>
    </row>
    <row r="1324" spans="2:12" ht="15.95" customHeight="1">
      <c r="B1324" s="400" t="s">
        <v>75</v>
      </c>
      <c r="C1324" s="401" t="s">
        <v>67</v>
      </c>
      <c r="D1324" s="402">
        <f>5.5*2</f>
        <v>11</v>
      </c>
      <c r="E1324" s="283"/>
      <c r="F1324" s="42"/>
      <c r="G1324" s="42"/>
      <c r="H1324" s="56">
        <f>INSUMOS!E14</f>
        <v>3.42</v>
      </c>
      <c r="I1324" s="232">
        <f>H1324*D1324</f>
        <v>37.619999999999997</v>
      </c>
    </row>
    <row r="1325" spans="2:12" ht="15.95" customHeight="1">
      <c r="B1325" s="635" t="s">
        <v>576</v>
      </c>
      <c r="C1325" s="635"/>
      <c r="D1325" s="635"/>
      <c r="E1325" s="635"/>
      <c r="F1325" s="635"/>
      <c r="G1325" s="635"/>
      <c r="H1325" s="635"/>
      <c r="I1325" s="232">
        <f>SUM(I1323:I1324)*0.9103</f>
        <v>79.81</v>
      </c>
    </row>
    <row r="1326" spans="2:12" ht="15.95" customHeight="1">
      <c r="B1326" s="631" t="s">
        <v>69</v>
      </c>
      <c r="C1326" s="628"/>
      <c r="D1326" s="628"/>
      <c r="E1326" s="628"/>
      <c r="F1326" s="628"/>
      <c r="G1326" s="628"/>
      <c r="H1326" s="628"/>
      <c r="I1326" s="228">
        <f>SUM(I1323:I1325)</f>
        <v>167.48</v>
      </c>
    </row>
    <row r="1327" spans="2:12" ht="15.95" customHeight="1">
      <c r="B1327" s="234" t="s">
        <v>76</v>
      </c>
      <c r="C1327" s="148">
        <v>1.1000000000000001</v>
      </c>
      <c r="D1327" s="636" t="s">
        <v>77</v>
      </c>
      <c r="E1327" s="637"/>
      <c r="F1327" s="637"/>
      <c r="G1327" s="637"/>
      <c r="H1327" s="638"/>
      <c r="I1327" s="228">
        <f>I1305+I1312+I1320+I1326</f>
        <v>1155.4100000000001</v>
      </c>
    </row>
    <row r="1328" spans="2:12" ht="15.95" customHeight="1">
      <c r="B1328" s="668"/>
      <c r="C1328" s="633"/>
      <c r="D1328" s="633"/>
      <c r="E1328" s="633"/>
      <c r="F1328" s="633"/>
      <c r="G1328" s="633"/>
      <c r="H1328" s="634"/>
      <c r="I1328" s="228">
        <f>I1327/C1327</f>
        <v>1050.3699999999999</v>
      </c>
    </row>
    <row r="1329" spans="1:9" ht="15.95" customHeight="1">
      <c r="B1329" s="235" t="s">
        <v>334</v>
      </c>
      <c r="C1329" s="145">
        <f>BDI!C37</f>
        <v>24.5</v>
      </c>
      <c r="D1329" s="146" t="s">
        <v>269</v>
      </c>
      <c r="E1329" s="136"/>
      <c r="F1329" s="136"/>
      <c r="G1329" s="136"/>
      <c r="H1329" s="137"/>
      <c r="I1329" s="232">
        <f>C1329/100*I1328</f>
        <v>257.33999999999997</v>
      </c>
    </row>
    <row r="1330" spans="1:9" ht="15.95" customHeight="1" thickBot="1">
      <c r="B1330" s="671" t="s">
        <v>78</v>
      </c>
      <c r="C1330" s="672"/>
      <c r="D1330" s="672"/>
      <c r="E1330" s="672"/>
      <c r="F1330" s="672"/>
      <c r="G1330" s="672"/>
      <c r="H1330" s="672"/>
      <c r="I1330" s="135">
        <f>SUM(I1328:I1329)</f>
        <v>1307.71</v>
      </c>
    </row>
    <row r="1331" spans="1:9" s="127" customFormat="1" ht="30" customHeight="1">
      <c r="B1331" s="33"/>
      <c r="C1331" s="130"/>
      <c r="D1331" s="130"/>
      <c r="E1331" s="33"/>
      <c r="F1331" s="33"/>
      <c r="G1331" s="33"/>
      <c r="H1331" s="33"/>
      <c r="I1331" s="130"/>
    </row>
    <row r="1335" spans="1:9" ht="13.5" thickBot="1"/>
    <row r="1336" spans="1:9" ht="15.75">
      <c r="B1336" s="277" t="s">
        <v>55</v>
      </c>
      <c r="C1336" s="474" t="s">
        <v>546</v>
      </c>
      <c r="D1336" s="669" t="s">
        <v>56</v>
      </c>
      <c r="E1336" s="669"/>
      <c r="F1336" s="669"/>
      <c r="G1336" s="669"/>
      <c r="H1336" s="669"/>
      <c r="I1336" s="670"/>
    </row>
    <row r="1337" spans="1:9" s="127" customFormat="1" ht="30" customHeight="1">
      <c r="B1337" s="666" t="s">
        <v>383</v>
      </c>
      <c r="C1337" s="656"/>
      <c r="D1337" s="656"/>
      <c r="E1337" s="656"/>
      <c r="F1337" s="656"/>
      <c r="G1337" s="657"/>
      <c r="H1337" s="643" t="s">
        <v>700</v>
      </c>
      <c r="I1337" s="667"/>
    </row>
    <row r="1338" spans="1:9" s="127" customFormat="1" ht="30" customHeight="1">
      <c r="B1338" s="664" t="s">
        <v>516</v>
      </c>
      <c r="C1338" s="625"/>
      <c r="D1338" s="625"/>
      <c r="E1338" s="625"/>
      <c r="F1338" s="625"/>
      <c r="G1338" s="625"/>
      <c r="H1338" s="34" t="s">
        <v>57</v>
      </c>
      <c r="I1338" s="211" t="s">
        <v>32</v>
      </c>
    </row>
    <row r="1339" spans="1:9" s="127" customFormat="1" ht="30" customHeight="1">
      <c r="B1339" s="629" t="s">
        <v>58</v>
      </c>
      <c r="C1339" s="626"/>
      <c r="D1339" s="626"/>
      <c r="E1339" s="626"/>
      <c r="F1339" s="626"/>
      <c r="G1339" s="626"/>
      <c r="H1339" s="626"/>
      <c r="I1339" s="630"/>
    </row>
    <row r="1340" spans="1:9" s="127" customFormat="1" ht="30" customHeight="1">
      <c r="B1340" s="212" t="s">
        <v>59</v>
      </c>
      <c r="C1340" s="172" t="s">
        <v>5</v>
      </c>
      <c r="D1340" s="36" t="s">
        <v>6</v>
      </c>
      <c r="E1340" s="36" t="s">
        <v>61</v>
      </c>
      <c r="F1340" s="36" t="s">
        <v>62</v>
      </c>
      <c r="G1340" s="36" t="s">
        <v>63</v>
      </c>
      <c r="H1340" s="36" t="s">
        <v>64</v>
      </c>
      <c r="I1340" s="213" t="s">
        <v>65</v>
      </c>
    </row>
    <row r="1341" spans="1:9">
      <c r="A1341" s="93"/>
      <c r="B1341" s="400" t="s">
        <v>480</v>
      </c>
      <c r="C1341" s="401" t="s">
        <v>67</v>
      </c>
      <c r="D1341" s="402">
        <v>0.71399999999999997</v>
      </c>
      <c r="E1341" s="276"/>
      <c r="F1341" s="49"/>
      <c r="G1341" s="237">
        <f>INSUMOS!E58</f>
        <v>2.94</v>
      </c>
      <c r="H1341" s="49"/>
      <c r="I1341" s="278">
        <f>D1341*G1341</f>
        <v>2.1</v>
      </c>
    </row>
    <row r="1342" spans="1:9" ht="15" customHeight="1">
      <c r="B1342" s="631" t="s">
        <v>69</v>
      </c>
      <c r="C1342" s="628"/>
      <c r="D1342" s="628"/>
      <c r="E1342" s="628"/>
      <c r="F1342" s="628"/>
      <c r="G1342" s="628"/>
      <c r="H1342" s="628"/>
      <c r="I1342" s="228">
        <f>SUM(I1341:I1341)</f>
        <v>2.1</v>
      </c>
    </row>
    <row r="1343" spans="1:9" ht="15.95" customHeight="1">
      <c r="B1343" s="629" t="s">
        <v>70</v>
      </c>
      <c r="C1343" s="626"/>
      <c r="D1343" s="626"/>
      <c r="E1343" s="626"/>
      <c r="F1343" s="626"/>
      <c r="G1343" s="626"/>
      <c r="H1343" s="626"/>
      <c r="I1343" s="630"/>
    </row>
    <row r="1344" spans="1:9" s="127" customFormat="1" ht="30" customHeight="1">
      <c r="B1344" s="229" t="s">
        <v>59</v>
      </c>
      <c r="C1344" s="78" t="s">
        <v>5</v>
      </c>
      <c r="D1344" s="40" t="s">
        <v>6</v>
      </c>
      <c r="E1344" s="42"/>
      <c r="F1344" s="42"/>
      <c r="G1344" s="42"/>
      <c r="H1344" s="40" t="s">
        <v>71</v>
      </c>
      <c r="I1344" s="215" t="s">
        <v>65</v>
      </c>
    </row>
    <row r="1345" spans="2:11">
      <c r="B1345" s="400" t="s">
        <v>474</v>
      </c>
      <c r="C1345" s="408" t="s">
        <v>88</v>
      </c>
      <c r="D1345" s="409">
        <v>357</v>
      </c>
      <c r="E1345" s="236"/>
      <c r="F1345" s="236"/>
      <c r="G1345" s="236"/>
      <c r="H1345" s="237">
        <f>INSUMOS!E40</f>
        <v>0.5</v>
      </c>
      <c r="I1345" s="232">
        <f>H1345*D1345</f>
        <v>178.5</v>
      </c>
    </row>
    <row r="1346" spans="2:11" ht="15" customHeight="1">
      <c r="B1346" s="400" t="s">
        <v>155</v>
      </c>
      <c r="C1346" s="408" t="s">
        <v>32</v>
      </c>
      <c r="D1346" s="409">
        <v>1.31</v>
      </c>
      <c r="E1346" s="236"/>
      <c r="F1346" s="236"/>
      <c r="G1346" s="236"/>
      <c r="H1346" s="237">
        <f>INSUMOS!E45</f>
        <v>70</v>
      </c>
      <c r="I1346" s="232">
        <f>H1346*D1346</f>
        <v>91.7</v>
      </c>
    </row>
    <row r="1347" spans="2:11" ht="15" customHeight="1">
      <c r="B1347" s="631" t="s">
        <v>69</v>
      </c>
      <c r="C1347" s="628"/>
      <c r="D1347" s="665"/>
      <c r="E1347" s="628"/>
      <c r="F1347" s="628"/>
      <c r="G1347" s="628"/>
      <c r="H1347" s="628"/>
      <c r="I1347" s="232">
        <f>SUM(I1345:I1346)</f>
        <v>270.2</v>
      </c>
    </row>
    <row r="1348" spans="2:11" ht="14.25" customHeight="1">
      <c r="B1348" s="629" t="s">
        <v>72</v>
      </c>
      <c r="C1348" s="626"/>
      <c r="D1348" s="626"/>
      <c r="E1348" s="626"/>
      <c r="F1348" s="626"/>
      <c r="G1348" s="626"/>
      <c r="H1348" s="626"/>
      <c r="I1348" s="630"/>
    </row>
    <row r="1349" spans="2:11" s="127" customFormat="1" ht="30" customHeight="1">
      <c r="B1349" s="280" t="s">
        <v>59</v>
      </c>
      <c r="C1349" s="71" t="s">
        <v>5</v>
      </c>
      <c r="D1349" s="47" t="s">
        <v>6</v>
      </c>
      <c r="E1349" s="46"/>
      <c r="F1349" s="46"/>
      <c r="G1349" s="46"/>
      <c r="H1349" s="47" t="s">
        <v>71</v>
      </c>
      <c r="I1349" s="215" t="s">
        <v>65</v>
      </c>
    </row>
    <row r="1350" spans="2:11">
      <c r="B1350" s="412"/>
      <c r="C1350" s="347"/>
      <c r="D1350" s="361"/>
      <c r="E1350" s="50"/>
      <c r="F1350" s="50"/>
      <c r="G1350" s="50"/>
      <c r="H1350" s="274"/>
      <c r="I1350" s="232">
        <f>D1350*H1350</f>
        <v>0</v>
      </c>
    </row>
    <row r="1351" spans="2:11">
      <c r="B1351" s="631" t="s">
        <v>69</v>
      </c>
      <c r="C1351" s="628"/>
      <c r="D1351" s="628"/>
      <c r="E1351" s="628"/>
      <c r="F1351" s="628"/>
      <c r="G1351" s="628"/>
      <c r="H1351" s="628"/>
      <c r="I1351" s="232">
        <f>SUM(I1350:I1350)</f>
        <v>0</v>
      </c>
      <c r="K1351" s="33">
        <f>3.14*(1.32*1.32)*1.5</f>
        <v>8.2100000000000009</v>
      </c>
    </row>
    <row r="1352" spans="2:11" ht="14.25" customHeight="1">
      <c r="B1352" s="629" t="s">
        <v>74</v>
      </c>
      <c r="C1352" s="626"/>
      <c r="D1352" s="626"/>
      <c r="E1352" s="626"/>
      <c r="F1352" s="626"/>
      <c r="G1352" s="626"/>
      <c r="H1352" s="626"/>
      <c r="I1352" s="630"/>
    </row>
    <row r="1353" spans="2:11" s="127" customFormat="1" ht="30" customHeight="1">
      <c r="B1353" s="291" t="s">
        <v>59</v>
      </c>
      <c r="C1353" s="180" t="s">
        <v>5</v>
      </c>
      <c r="D1353" s="144" t="s">
        <v>6</v>
      </c>
      <c r="E1353" s="46"/>
      <c r="F1353" s="46"/>
      <c r="G1353" s="46"/>
      <c r="H1353" s="47" t="s">
        <v>71</v>
      </c>
      <c r="I1353" s="232" t="s">
        <v>65</v>
      </c>
      <c r="K1353" s="127">
        <f>3.14*(1.02*1.02)*1.5</f>
        <v>4.9000000000000004</v>
      </c>
    </row>
    <row r="1354" spans="2:11" ht="15.95" customHeight="1">
      <c r="B1354" s="400" t="s">
        <v>75</v>
      </c>
      <c r="C1354" s="401" t="s">
        <v>67</v>
      </c>
      <c r="D1354" s="402">
        <v>17</v>
      </c>
      <c r="E1354" s="283"/>
      <c r="F1354" s="42"/>
      <c r="G1354" s="42"/>
      <c r="H1354" s="56">
        <f>INSUMOS!E14</f>
        <v>3.42</v>
      </c>
      <c r="I1354" s="232">
        <f>H1354*D1354</f>
        <v>58.14</v>
      </c>
      <c r="K1354" s="33">
        <f>K1351-K1353</f>
        <v>3.31</v>
      </c>
    </row>
    <row r="1355" spans="2:11" ht="15.95" customHeight="1">
      <c r="B1355" s="635" t="s">
        <v>576</v>
      </c>
      <c r="C1355" s="635"/>
      <c r="D1355" s="635"/>
      <c r="E1355" s="635"/>
      <c r="F1355" s="635"/>
      <c r="G1355" s="635"/>
      <c r="H1355" s="635"/>
      <c r="I1355" s="232">
        <f>SUM(I1354:I1354)*0.9103</f>
        <v>52.92</v>
      </c>
    </row>
    <row r="1356" spans="2:11" ht="15.95" customHeight="1">
      <c r="B1356" s="631" t="s">
        <v>69</v>
      </c>
      <c r="C1356" s="628"/>
      <c r="D1356" s="628"/>
      <c r="E1356" s="628"/>
      <c r="F1356" s="628"/>
      <c r="G1356" s="628"/>
      <c r="H1356" s="628"/>
      <c r="I1356" s="233">
        <f>SUM(I1354:I1355)</f>
        <v>111.06</v>
      </c>
    </row>
    <row r="1357" spans="2:11" ht="15.95" customHeight="1">
      <c r="B1357" s="234" t="s">
        <v>76</v>
      </c>
      <c r="C1357" s="148">
        <v>1.1000000000000001</v>
      </c>
      <c r="D1357" s="636" t="s">
        <v>77</v>
      </c>
      <c r="E1357" s="637"/>
      <c r="F1357" s="637"/>
      <c r="G1357" s="637"/>
      <c r="H1357" s="638"/>
      <c r="I1357" s="233">
        <f>I1342+I1347+I1351+I1356</f>
        <v>383.36</v>
      </c>
    </row>
    <row r="1358" spans="2:11" ht="15.95" customHeight="1">
      <c r="B1358" s="668"/>
      <c r="C1358" s="633"/>
      <c r="D1358" s="633"/>
      <c r="E1358" s="633"/>
      <c r="F1358" s="633"/>
      <c r="G1358" s="633"/>
      <c r="H1358" s="634"/>
      <c r="I1358" s="233">
        <f>I1357/C1357</f>
        <v>348.51</v>
      </c>
    </row>
    <row r="1359" spans="2:11" ht="15.95" customHeight="1">
      <c r="B1359" s="235" t="s">
        <v>334</v>
      </c>
      <c r="C1359" s="145">
        <f>BDI!C37</f>
        <v>24.5</v>
      </c>
      <c r="D1359" s="146" t="s">
        <v>269</v>
      </c>
      <c r="E1359" s="136"/>
      <c r="F1359" s="136"/>
      <c r="G1359" s="136"/>
      <c r="H1359" s="137"/>
      <c r="I1359" s="232">
        <f>C1359/100*I1358</f>
        <v>85.38</v>
      </c>
      <c r="J1359" s="33">
        <v>391.32</v>
      </c>
    </row>
    <row r="1360" spans="2:11" ht="15.95" customHeight="1" thickBot="1">
      <c r="B1360" s="671" t="s">
        <v>78</v>
      </c>
      <c r="C1360" s="672"/>
      <c r="D1360" s="672"/>
      <c r="E1360" s="672"/>
      <c r="F1360" s="672"/>
      <c r="G1360" s="672"/>
      <c r="H1360" s="672"/>
      <c r="I1360" s="135">
        <f>SUM(I1358:I1359)</f>
        <v>433.89</v>
      </c>
    </row>
    <row r="1361" spans="1:11" s="127" customFormat="1" ht="30" customHeight="1">
      <c r="B1361" s="33"/>
      <c r="C1361" s="130"/>
      <c r="D1361" s="130"/>
      <c r="E1361" s="33"/>
      <c r="F1361" s="33"/>
      <c r="G1361" s="33"/>
      <c r="H1361" s="33"/>
      <c r="I1361" s="130"/>
    </row>
    <row r="1365" spans="1:11" ht="13.5" thickBot="1"/>
    <row r="1366" spans="1:11" ht="15.75">
      <c r="B1366" s="200" t="s">
        <v>55</v>
      </c>
      <c r="C1366" s="474" t="str">
        <f>'Planilha Orçamentária'!B77</f>
        <v>4.14</v>
      </c>
      <c r="D1366" s="639" t="s">
        <v>56</v>
      </c>
      <c r="E1366" s="639"/>
      <c r="F1366" s="639"/>
      <c r="G1366" s="639"/>
      <c r="H1366" s="639"/>
      <c r="I1366" s="639"/>
    </row>
    <row r="1367" spans="1:11" ht="30" customHeight="1">
      <c r="B1367" s="640" t="s">
        <v>332</v>
      </c>
      <c r="C1367" s="641"/>
      <c r="D1367" s="641"/>
      <c r="E1367" s="641"/>
      <c r="F1367" s="641"/>
      <c r="G1367" s="642"/>
      <c r="H1367" s="643" t="s">
        <v>700</v>
      </c>
      <c r="I1367" s="644"/>
    </row>
    <row r="1368" spans="1:11" s="127" customFormat="1" ht="30" customHeight="1">
      <c r="B1368" s="625" t="s">
        <v>176</v>
      </c>
      <c r="C1368" s="625"/>
      <c r="D1368" s="625"/>
      <c r="E1368" s="625"/>
      <c r="F1368" s="625"/>
      <c r="G1368" s="625"/>
      <c r="H1368" s="34" t="s">
        <v>57</v>
      </c>
      <c r="I1368" s="126" t="s">
        <v>379</v>
      </c>
    </row>
    <row r="1369" spans="1:11" ht="31.5" customHeight="1">
      <c r="B1369" s="626" t="s">
        <v>58</v>
      </c>
      <c r="C1369" s="626"/>
      <c r="D1369" s="626"/>
      <c r="E1369" s="626"/>
      <c r="F1369" s="626"/>
      <c r="G1369" s="626"/>
      <c r="H1369" s="626"/>
      <c r="I1369" s="626"/>
    </row>
    <row r="1370" spans="1:11" s="127" customFormat="1" ht="30" customHeight="1">
      <c r="B1370" s="35" t="s">
        <v>59</v>
      </c>
      <c r="C1370" s="172" t="s">
        <v>5</v>
      </c>
      <c r="D1370" s="36" t="s">
        <v>6</v>
      </c>
      <c r="E1370" s="36" t="s">
        <v>61</v>
      </c>
      <c r="F1370" s="36" t="s">
        <v>62</v>
      </c>
      <c r="G1370" s="36" t="s">
        <v>63</v>
      </c>
      <c r="H1370" s="36" t="s">
        <v>64</v>
      </c>
      <c r="I1370" s="37" t="s">
        <v>65</v>
      </c>
    </row>
    <row r="1371" spans="1:11" ht="15.75">
      <c r="A1371" s="93"/>
      <c r="B1371" s="38" t="s">
        <v>349</v>
      </c>
      <c r="C1371" s="88" t="s">
        <v>67</v>
      </c>
      <c r="D1371" s="88">
        <v>4</v>
      </c>
      <c r="E1371" s="47">
        <v>1</v>
      </c>
      <c r="F1371" s="47"/>
      <c r="G1371" s="56">
        <f>INSUMOS!E97</f>
        <v>54</v>
      </c>
      <c r="H1371" s="47"/>
      <c r="I1371" s="87">
        <f>D1371*E1371*G1371+D1371*F1371*H1371</f>
        <v>216</v>
      </c>
      <c r="K1371" s="109"/>
    </row>
    <row r="1372" spans="1:11" ht="15.95" customHeight="1">
      <c r="B1372" s="628" t="s">
        <v>69</v>
      </c>
      <c r="C1372" s="628"/>
      <c r="D1372" s="628"/>
      <c r="E1372" s="628"/>
      <c r="F1372" s="628"/>
      <c r="G1372" s="628"/>
      <c r="H1372" s="628"/>
      <c r="I1372" s="95">
        <f>SUM(I1371:I1371)</f>
        <v>216</v>
      </c>
      <c r="K1372" s="51"/>
    </row>
    <row r="1373" spans="1:11" ht="15.95" customHeight="1">
      <c r="B1373" s="626" t="s">
        <v>70</v>
      </c>
      <c r="C1373" s="626"/>
      <c r="D1373" s="626"/>
      <c r="E1373" s="626"/>
      <c r="F1373" s="626"/>
      <c r="G1373" s="626"/>
      <c r="H1373" s="626"/>
      <c r="I1373" s="626"/>
      <c r="K1373" s="51"/>
    </row>
    <row r="1374" spans="1:11" s="127" customFormat="1" ht="30" customHeight="1">
      <c r="B1374" s="179" t="s">
        <v>59</v>
      </c>
      <c r="C1374" s="180" t="s">
        <v>5</v>
      </c>
      <c r="D1374" s="47" t="s">
        <v>6</v>
      </c>
      <c r="E1374" s="46"/>
      <c r="F1374" s="46"/>
      <c r="G1374" s="46"/>
      <c r="H1374" s="47" t="s">
        <v>71</v>
      </c>
      <c r="I1374" s="90" t="s">
        <v>65</v>
      </c>
      <c r="K1374" s="178"/>
    </row>
    <row r="1375" spans="1:11" ht="15.95" customHeight="1">
      <c r="B1375" s="97" t="s">
        <v>177</v>
      </c>
      <c r="C1375" s="88" t="s">
        <v>88</v>
      </c>
      <c r="D1375" s="89">
        <f>600*149/1000</f>
        <v>89.4</v>
      </c>
      <c r="E1375" s="46"/>
      <c r="F1375" s="46"/>
      <c r="G1375" s="46"/>
      <c r="H1375" s="56">
        <f>INSUMOS!E146</f>
        <v>15.04</v>
      </c>
      <c r="I1375" s="90">
        <f>H1375*D1375</f>
        <v>1344.58</v>
      </c>
      <c r="K1375" s="51"/>
    </row>
    <row r="1376" spans="1:11" ht="15.95" customHeight="1">
      <c r="B1376" s="97" t="s">
        <v>178</v>
      </c>
      <c r="C1376" s="85" t="s">
        <v>379</v>
      </c>
      <c r="D1376" s="89">
        <v>4</v>
      </c>
      <c r="E1376" s="46"/>
      <c r="F1376" s="46"/>
      <c r="G1376" s="46"/>
      <c r="H1376" s="56">
        <f>INSUMOS!E142</f>
        <v>297.51</v>
      </c>
      <c r="I1376" s="90">
        <f t="shared" ref="I1376:I1381" si="4">H1376*D1376</f>
        <v>1190.04</v>
      </c>
      <c r="J1376" s="51"/>
      <c r="K1376" s="51"/>
    </row>
    <row r="1377" spans="2:11" ht="15.95" customHeight="1">
      <c r="B1377" s="97" t="s">
        <v>179</v>
      </c>
      <c r="C1377" s="85" t="s">
        <v>379</v>
      </c>
      <c r="D1377" s="89">
        <v>12</v>
      </c>
      <c r="E1377" s="46"/>
      <c r="F1377" s="46"/>
      <c r="G1377" s="46"/>
      <c r="H1377" s="56">
        <f>INSUMOS!E143</f>
        <v>9.41</v>
      </c>
      <c r="I1377" s="90">
        <f t="shared" si="4"/>
        <v>112.92</v>
      </c>
      <c r="K1377" s="51"/>
    </row>
    <row r="1378" spans="2:11" ht="24" customHeight="1">
      <c r="B1378" s="122" t="s">
        <v>492</v>
      </c>
      <c r="C1378" s="85" t="s">
        <v>379</v>
      </c>
      <c r="D1378" s="89">
        <v>4</v>
      </c>
      <c r="E1378" s="46"/>
      <c r="F1378" s="46"/>
      <c r="G1378" s="46"/>
      <c r="H1378" s="56">
        <f>INSUMOS!E144</f>
        <v>7.99</v>
      </c>
      <c r="I1378" s="90">
        <f t="shared" si="4"/>
        <v>31.96</v>
      </c>
      <c r="K1378" s="51"/>
    </row>
    <row r="1379" spans="2:11" ht="18" customHeight="1">
      <c r="B1379" s="97" t="s">
        <v>180</v>
      </c>
      <c r="C1379" s="85" t="s">
        <v>379</v>
      </c>
      <c r="D1379" s="89">
        <v>12</v>
      </c>
      <c r="E1379" s="46"/>
      <c r="F1379" s="46"/>
      <c r="G1379" s="46"/>
      <c r="H1379" s="56">
        <f>INSUMOS!E145</f>
        <v>1.52</v>
      </c>
      <c r="I1379" s="90">
        <f t="shared" si="4"/>
        <v>18.239999999999998</v>
      </c>
    </row>
    <row r="1380" spans="2:11" ht="15.95" customHeight="1">
      <c r="B1380" s="97" t="s">
        <v>493</v>
      </c>
      <c r="C1380" s="85" t="s">
        <v>379</v>
      </c>
      <c r="D1380" s="89">
        <v>8</v>
      </c>
      <c r="E1380" s="46"/>
      <c r="F1380" s="46"/>
      <c r="G1380" s="46"/>
      <c r="H1380" s="56">
        <f>INSUMOS!E151</f>
        <v>3.2</v>
      </c>
      <c r="I1380" s="90">
        <f t="shared" si="4"/>
        <v>25.6</v>
      </c>
    </row>
    <row r="1381" spans="2:11" ht="15.95" customHeight="1">
      <c r="B1381" s="97" t="s">
        <v>494</v>
      </c>
      <c r="C1381" s="85" t="s">
        <v>379</v>
      </c>
      <c r="D1381" s="89">
        <v>8</v>
      </c>
      <c r="E1381" s="46"/>
      <c r="F1381" s="46"/>
      <c r="G1381" s="46"/>
      <c r="H1381" s="56">
        <f>INSUMOS!E152</f>
        <v>2.23</v>
      </c>
      <c r="I1381" s="90">
        <f t="shared" si="4"/>
        <v>17.84</v>
      </c>
    </row>
    <row r="1382" spans="2:11" ht="15.95" customHeight="1">
      <c r="B1382" s="628" t="s">
        <v>69</v>
      </c>
      <c r="C1382" s="628"/>
      <c r="D1382" s="628"/>
      <c r="E1382" s="628"/>
      <c r="F1382" s="628"/>
      <c r="G1382" s="628"/>
      <c r="H1382" s="628"/>
      <c r="I1382" s="90">
        <f>SUM(I1375:I1381)</f>
        <v>2741.18</v>
      </c>
    </row>
    <row r="1383" spans="2:11" ht="15.95" customHeight="1">
      <c r="B1383" s="626" t="s">
        <v>72</v>
      </c>
      <c r="C1383" s="626"/>
      <c r="D1383" s="626"/>
      <c r="E1383" s="626"/>
      <c r="F1383" s="626"/>
      <c r="G1383" s="626"/>
      <c r="H1383" s="626"/>
      <c r="I1383" s="626"/>
    </row>
    <row r="1384" spans="2:11" s="127" customFormat="1" ht="30" customHeight="1">
      <c r="B1384" s="45" t="s">
        <v>59</v>
      </c>
      <c r="C1384" s="71" t="s">
        <v>5</v>
      </c>
      <c r="D1384" s="47" t="s">
        <v>6</v>
      </c>
      <c r="E1384" s="46"/>
      <c r="F1384" s="46"/>
      <c r="G1384" s="46"/>
      <c r="H1384" s="47" t="s">
        <v>71</v>
      </c>
      <c r="I1384" s="43" t="s">
        <v>65</v>
      </c>
    </row>
    <row r="1385" spans="2:11">
      <c r="B1385" s="84"/>
      <c r="C1385" s="47"/>
      <c r="D1385" s="47"/>
      <c r="E1385" s="46"/>
      <c r="F1385" s="46"/>
      <c r="G1385" s="46"/>
      <c r="H1385" s="47"/>
      <c r="I1385" s="90">
        <f>D1385*H1385</f>
        <v>0</v>
      </c>
    </row>
    <row r="1386" spans="2:11">
      <c r="B1386" s="628"/>
      <c r="C1386" s="628"/>
      <c r="D1386" s="628"/>
      <c r="E1386" s="628"/>
      <c r="F1386" s="628"/>
      <c r="G1386" s="628"/>
      <c r="H1386" s="628"/>
      <c r="I1386" s="90">
        <f>SUM(I1385:I1385)</f>
        <v>0</v>
      </c>
    </row>
    <row r="1387" spans="2:11">
      <c r="B1387" s="626" t="s">
        <v>74</v>
      </c>
      <c r="C1387" s="626"/>
      <c r="D1387" s="626"/>
      <c r="E1387" s="626"/>
      <c r="F1387" s="626"/>
      <c r="G1387" s="626"/>
      <c r="H1387" s="626"/>
      <c r="I1387" s="626"/>
    </row>
    <row r="1388" spans="2:11" s="127" customFormat="1" ht="30" customHeight="1">
      <c r="B1388" s="179" t="s">
        <v>59</v>
      </c>
      <c r="C1388" s="180" t="s">
        <v>5</v>
      </c>
      <c r="D1388" s="144" t="s">
        <v>6</v>
      </c>
      <c r="E1388" s="138"/>
      <c r="F1388" s="138"/>
      <c r="G1388" s="138"/>
      <c r="H1388" s="144" t="s">
        <v>71</v>
      </c>
      <c r="I1388" s="210" t="s">
        <v>65</v>
      </c>
    </row>
    <row r="1389" spans="2:11" ht="15.95" customHeight="1">
      <c r="B1389" s="111" t="s">
        <v>602</v>
      </c>
      <c r="C1389" s="71" t="s">
        <v>19</v>
      </c>
      <c r="D1389" s="47">
        <v>0.05</v>
      </c>
      <c r="E1389" s="46"/>
      <c r="F1389" s="46"/>
      <c r="G1389" s="46"/>
      <c r="H1389" s="56">
        <f>INSUMOS!E25</f>
        <v>8447.4699999999993</v>
      </c>
      <c r="I1389" s="90">
        <f t="shared" ref="I1389:I1395" si="5">D1389*H1389</f>
        <v>422.37</v>
      </c>
    </row>
    <row r="1390" spans="2:11" ht="15.95" customHeight="1">
      <c r="B1390" s="111" t="s">
        <v>600</v>
      </c>
      <c r="C1390" s="71" t="s">
        <v>19</v>
      </c>
      <c r="D1390" s="47">
        <v>0.05</v>
      </c>
      <c r="E1390" s="46"/>
      <c r="F1390" s="46"/>
      <c r="G1390" s="46"/>
      <c r="H1390" s="56">
        <f>INSUMOS!E26</f>
        <v>2564.85</v>
      </c>
      <c r="I1390" s="90">
        <f t="shared" si="5"/>
        <v>128.24</v>
      </c>
    </row>
    <row r="1391" spans="2:11" ht="15.95" customHeight="1">
      <c r="B1391" s="111" t="s">
        <v>185</v>
      </c>
      <c r="C1391" s="71" t="s">
        <v>67</v>
      </c>
      <c r="D1391" s="47">
        <v>5</v>
      </c>
      <c r="E1391" s="46"/>
      <c r="F1391" s="46"/>
      <c r="G1391" s="46"/>
      <c r="H1391" s="56">
        <f>INSUMOS!E27</f>
        <v>6.76</v>
      </c>
      <c r="I1391" s="90">
        <f t="shared" si="5"/>
        <v>33.799999999999997</v>
      </c>
    </row>
    <row r="1392" spans="2:11" ht="15.95" customHeight="1">
      <c r="B1392" s="111" t="s">
        <v>186</v>
      </c>
      <c r="C1392" s="71" t="s">
        <v>67</v>
      </c>
      <c r="D1392" s="47">
        <v>22.65</v>
      </c>
      <c r="E1392" s="46"/>
      <c r="F1392" s="46"/>
      <c r="G1392" s="46"/>
      <c r="H1392" s="56">
        <f>INSUMOS!E28</f>
        <v>2.2599999999999998</v>
      </c>
      <c r="I1392" s="90">
        <f t="shared" si="5"/>
        <v>51.19</v>
      </c>
    </row>
    <row r="1393" spans="2:9" ht="15.95" customHeight="1">
      <c r="B1393" s="111" t="s">
        <v>187</v>
      </c>
      <c r="C1393" s="71" t="s">
        <v>67</v>
      </c>
      <c r="D1393" s="47">
        <v>8</v>
      </c>
      <c r="E1393" s="46"/>
      <c r="F1393" s="46"/>
      <c r="G1393" s="46"/>
      <c r="H1393" s="56">
        <f>INSUMOS!E21</f>
        <v>4.55</v>
      </c>
      <c r="I1393" s="90">
        <f t="shared" si="5"/>
        <v>36.4</v>
      </c>
    </row>
    <row r="1394" spans="2:9" ht="15.95" customHeight="1">
      <c r="B1394" s="111" t="s">
        <v>188</v>
      </c>
      <c r="C1394" s="71" t="s">
        <v>67</v>
      </c>
      <c r="D1394" s="47">
        <v>13</v>
      </c>
      <c r="E1394" s="46"/>
      <c r="F1394" s="46"/>
      <c r="G1394" s="46"/>
      <c r="H1394" s="56">
        <f>INSUMOS!E29</f>
        <v>3.74</v>
      </c>
      <c r="I1394" s="90">
        <f t="shared" si="5"/>
        <v>48.62</v>
      </c>
    </row>
    <row r="1395" spans="2:9" ht="15.95" customHeight="1">
      <c r="B1395" s="112" t="s">
        <v>189</v>
      </c>
      <c r="C1395" s="71" t="s">
        <v>67</v>
      </c>
      <c r="D1395" s="47">
        <v>13</v>
      </c>
      <c r="E1395" s="46"/>
      <c r="F1395" s="46"/>
      <c r="G1395" s="46"/>
      <c r="H1395" s="56">
        <f>INSUMOS!E14</f>
        <v>3.42</v>
      </c>
      <c r="I1395" s="90">
        <f t="shared" si="5"/>
        <v>44.46</v>
      </c>
    </row>
    <row r="1396" spans="2:9" ht="15.95" customHeight="1">
      <c r="B1396" s="635" t="s">
        <v>576</v>
      </c>
      <c r="C1396" s="635"/>
      <c r="D1396" s="635"/>
      <c r="E1396" s="635"/>
      <c r="F1396" s="635"/>
      <c r="G1396" s="635"/>
      <c r="H1396" s="635"/>
      <c r="I1396" s="90">
        <f>SUM(I1391:I1395)*0.9103</f>
        <v>195.23</v>
      </c>
    </row>
    <row r="1397" spans="2:9" ht="15.95" customHeight="1">
      <c r="B1397" s="628" t="s">
        <v>69</v>
      </c>
      <c r="C1397" s="628"/>
      <c r="D1397" s="628"/>
      <c r="E1397" s="628"/>
      <c r="F1397" s="628"/>
      <c r="G1397" s="628"/>
      <c r="H1397" s="628"/>
      <c r="I1397" s="95">
        <f>SUM(I1389:I1396)</f>
        <v>960.31</v>
      </c>
    </row>
    <row r="1398" spans="2:9" ht="15.95" customHeight="1">
      <c r="B1398" s="54" t="s">
        <v>76</v>
      </c>
      <c r="C1398" s="47">
        <v>1</v>
      </c>
      <c r="D1398" s="652" t="s">
        <v>77</v>
      </c>
      <c r="E1398" s="652"/>
      <c r="F1398" s="652"/>
      <c r="G1398" s="652"/>
      <c r="H1398" s="652"/>
      <c r="I1398" s="95">
        <f>I1397+I1386+I1382+I1372</f>
        <v>3917.49</v>
      </c>
    </row>
    <row r="1399" spans="2:9" ht="15.95" customHeight="1">
      <c r="B1399" s="632"/>
      <c r="C1399" s="633"/>
      <c r="D1399" s="633"/>
      <c r="E1399" s="633"/>
      <c r="F1399" s="633"/>
      <c r="G1399" s="633"/>
      <c r="H1399" s="634"/>
      <c r="I1399" s="95">
        <f>I1398/C1398</f>
        <v>3917.49</v>
      </c>
    </row>
    <row r="1400" spans="2:9" ht="15.95" customHeight="1">
      <c r="B1400" s="139" t="s">
        <v>334</v>
      </c>
      <c r="C1400" s="145">
        <f>BDI!C37</f>
        <v>24.5</v>
      </c>
      <c r="D1400" s="146" t="s">
        <v>269</v>
      </c>
      <c r="E1400" s="136"/>
      <c r="F1400" s="136"/>
      <c r="G1400" s="136"/>
      <c r="H1400" s="137"/>
      <c r="I1400" s="90">
        <f>C1400/100*I1399</f>
        <v>959.79</v>
      </c>
    </row>
    <row r="1401" spans="2:9" ht="15.95" customHeight="1" thickBot="1">
      <c r="B1401" s="627" t="s">
        <v>78</v>
      </c>
      <c r="C1401" s="627"/>
      <c r="D1401" s="627"/>
      <c r="E1401" s="627"/>
      <c r="F1401" s="627"/>
      <c r="G1401" s="627"/>
      <c r="H1401" s="627"/>
      <c r="I1401" s="135">
        <f>SUM(I1399:I1400)</f>
        <v>4877.28</v>
      </c>
    </row>
    <row r="1402" spans="2:9" s="127" customFormat="1" ht="30" customHeight="1">
      <c r="B1402" s="33"/>
      <c r="C1402" s="130"/>
      <c r="D1402" s="130"/>
      <c r="E1402" s="33"/>
      <c r="F1402" s="33"/>
      <c r="G1402" s="33"/>
      <c r="H1402" s="33"/>
      <c r="I1402" s="130"/>
    </row>
    <row r="1408" spans="2:9" ht="13.5" thickBot="1"/>
    <row r="1409" spans="2:12" ht="15.75">
      <c r="B1409" s="335" t="s">
        <v>55</v>
      </c>
      <c r="C1409" s="336" t="str">
        <f>'Planilha Orçamentária'!B78</f>
        <v>4.15</v>
      </c>
      <c r="D1409" s="758" t="s">
        <v>56</v>
      </c>
      <c r="E1409" s="758"/>
      <c r="F1409" s="758"/>
      <c r="G1409" s="758"/>
      <c r="H1409" s="758"/>
      <c r="I1409" s="759"/>
    </row>
    <row r="1410" spans="2:12" s="334" customFormat="1" ht="30" customHeight="1">
      <c r="B1410" s="696" t="s">
        <v>438</v>
      </c>
      <c r="C1410" s="697"/>
      <c r="D1410" s="697"/>
      <c r="E1410" s="697"/>
      <c r="F1410" s="697"/>
      <c r="G1410" s="698"/>
      <c r="H1410" s="699" t="s">
        <v>547</v>
      </c>
      <c r="I1410" s="700"/>
      <c r="J1410" s="337"/>
    </row>
    <row r="1411" spans="2:12" s="334" customFormat="1" ht="30" customHeight="1">
      <c r="B1411" s="701" t="s">
        <v>499</v>
      </c>
      <c r="C1411" s="702"/>
      <c r="D1411" s="702"/>
      <c r="E1411" s="702"/>
      <c r="F1411" s="702"/>
      <c r="G1411" s="703"/>
      <c r="H1411" s="338" t="s">
        <v>57</v>
      </c>
      <c r="I1411" s="339" t="s">
        <v>379</v>
      </c>
      <c r="J1411" s="337"/>
    </row>
    <row r="1412" spans="2:12" s="334" customFormat="1" ht="30" customHeight="1">
      <c r="B1412" s="713" t="s">
        <v>58</v>
      </c>
      <c r="C1412" s="714"/>
      <c r="D1412" s="714"/>
      <c r="E1412" s="714"/>
      <c r="F1412" s="714"/>
      <c r="G1412" s="714"/>
      <c r="H1412" s="714"/>
      <c r="I1412" s="715"/>
      <c r="J1412" s="740"/>
      <c r="K1412" s="740"/>
    </row>
    <row r="1413" spans="2:12" s="334" customFormat="1" ht="30" customHeight="1">
      <c r="B1413" s="340" t="s">
        <v>59</v>
      </c>
      <c r="C1413" s="36" t="s">
        <v>60</v>
      </c>
      <c r="D1413" s="341" t="s">
        <v>6</v>
      </c>
      <c r="E1413" s="342" t="s">
        <v>61</v>
      </c>
      <c r="F1413" s="342" t="s">
        <v>62</v>
      </c>
      <c r="G1413" s="343" t="s">
        <v>63</v>
      </c>
      <c r="H1413" s="343" t="s">
        <v>64</v>
      </c>
      <c r="I1413" s="344" t="s">
        <v>65</v>
      </c>
      <c r="J1413" s="740"/>
      <c r="K1413" s="740"/>
    </row>
    <row r="1414" spans="2:12" s="334" customFormat="1">
      <c r="B1414" s="346"/>
      <c r="C1414" s="347"/>
      <c r="D1414" s="348"/>
      <c r="E1414" s="349"/>
      <c r="F1414" s="350"/>
      <c r="G1414" s="351"/>
      <c r="H1414" s="352"/>
      <c r="I1414" s="351">
        <f>D1414*G1414</f>
        <v>0</v>
      </c>
      <c r="J1414" s="740"/>
      <c r="K1414" s="740"/>
    </row>
    <row r="1415" spans="2:12" s="345" customFormat="1">
      <c r="B1415" s="718" t="s">
        <v>69</v>
      </c>
      <c r="C1415" s="719"/>
      <c r="D1415" s="719"/>
      <c r="E1415" s="719"/>
      <c r="F1415" s="719"/>
      <c r="G1415" s="719"/>
      <c r="H1415" s="719"/>
      <c r="I1415" s="354">
        <f>SUM(I1414:I1414)</f>
        <v>0</v>
      </c>
      <c r="J1415" s="121"/>
      <c r="L1415" s="353"/>
    </row>
    <row r="1416" spans="2:12" s="345" customFormat="1" ht="15" customHeight="1">
      <c r="B1416" s="713" t="s">
        <v>70</v>
      </c>
      <c r="C1416" s="714"/>
      <c r="D1416" s="714"/>
      <c r="E1416" s="714"/>
      <c r="F1416" s="714"/>
      <c r="G1416" s="714"/>
      <c r="H1416" s="714"/>
      <c r="I1416" s="715"/>
      <c r="J1416" s="121"/>
    </row>
    <row r="1417" spans="2:12" s="334" customFormat="1" ht="30" customHeight="1">
      <c r="B1417" s="356" t="s">
        <v>59</v>
      </c>
      <c r="C1417" s="36" t="s">
        <v>60</v>
      </c>
      <c r="D1417" s="357" t="s">
        <v>6</v>
      </c>
      <c r="E1417" s="358"/>
      <c r="F1417" s="358"/>
      <c r="G1417" s="358"/>
      <c r="H1417" s="347" t="s">
        <v>71</v>
      </c>
      <c r="I1417" s="359" t="s">
        <v>65</v>
      </c>
      <c r="J1417" s="337"/>
      <c r="K1417" s="355"/>
    </row>
    <row r="1418" spans="2:12" s="334" customFormat="1" ht="39.75" customHeight="1">
      <c r="B1418" s="346" t="s">
        <v>500</v>
      </c>
      <c r="C1418" s="168" t="s">
        <v>379</v>
      </c>
      <c r="D1418" s="361">
        <v>1</v>
      </c>
      <c r="E1418" s="362"/>
      <c r="F1418" s="362"/>
      <c r="G1418" s="362"/>
      <c r="H1418" s="363">
        <f>INSUMOS!E113</f>
        <v>96.28</v>
      </c>
      <c r="I1418" s="364">
        <f>D1418*H1418</f>
        <v>96.28</v>
      </c>
      <c r="J1418" s="337"/>
    </row>
    <row r="1419" spans="2:12" s="334" customFormat="1" ht="20.25" customHeight="1">
      <c r="B1419" s="716" t="s">
        <v>69</v>
      </c>
      <c r="C1419" s="717"/>
      <c r="D1419" s="717"/>
      <c r="E1419" s="717"/>
      <c r="F1419" s="717"/>
      <c r="G1419" s="717"/>
      <c r="H1419" s="717"/>
      <c r="I1419" s="364">
        <f>SUM(I1418:I1418)</f>
        <v>96.28</v>
      </c>
      <c r="J1419" s="337"/>
      <c r="K1419" s="365"/>
    </row>
    <row r="1420" spans="2:12" s="334" customFormat="1" ht="15" customHeight="1">
      <c r="B1420" s="713" t="s">
        <v>72</v>
      </c>
      <c r="C1420" s="714"/>
      <c r="D1420" s="714"/>
      <c r="E1420" s="714"/>
      <c r="F1420" s="714"/>
      <c r="G1420" s="714"/>
      <c r="H1420" s="714"/>
      <c r="I1420" s="715"/>
      <c r="J1420" s="337"/>
    </row>
    <row r="1421" spans="2:12" s="334" customFormat="1" ht="26.25" customHeight="1">
      <c r="B1421" s="371" t="s">
        <v>59</v>
      </c>
      <c r="C1421" s="36" t="s">
        <v>60</v>
      </c>
      <c r="D1421" s="347" t="s">
        <v>6</v>
      </c>
      <c r="E1421" s="372"/>
      <c r="F1421" s="372"/>
      <c r="G1421" s="372"/>
      <c r="H1421" s="347" t="s">
        <v>71</v>
      </c>
      <c r="I1421" s="364" t="s">
        <v>65</v>
      </c>
      <c r="J1421" s="337"/>
    </row>
    <row r="1422" spans="2:12" s="334" customFormat="1" ht="15" customHeight="1">
      <c r="B1422" s="373" t="s">
        <v>449</v>
      </c>
      <c r="C1422" s="347" t="s">
        <v>32</v>
      </c>
      <c r="D1422" s="374">
        <v>0.04</v>
      </c>
      <c r="E1422" s="372"/>
      <c r="F1422" s="372"/>
      <c r="G1422" s="372"/>
      <c r="H1422" s="370">
        <f>I357</f>
        <v>342.58</v>
      </c>
      <c r="I1422" s="364">
        <f>D1422*H1422</f>
        <v>13.7</v>
      </c>
      <c r="J1422" s="337"/>
    </row>
    <row r="1423" spans="2:12" s="334" customFormat="1" ht="15" customHeight="1">
      <c r="B1423" s="712" t="s">
        <v>69</v>
      </c>
      <c r="C1423" s="689"/>
      <c r="D1423" s="689"/>
      <c r="E1423" s="689"/>
      <c r="F1423" s="689"/>
      <c r="G1423" s="689"/>
      <c r="H1423" s="689"/>
      <c r="I1423" s="364">
        <f>SUM(I1422:I1422)</f>
        <v>13.7</v>
      </c>
      <c r="J1423" s="337"/>
    </row>
    <row r="1424" spans="2:12" s="334" customFormat="1" ht="15" customHeight="1">
      <c r="B1424" s="713" t="s">
        <v>74</v>
      </c>
      <c r="C1424" s="714"/>
      <c r="D1424" s="714"/>
      <c r="E1424" s="714"/>
      <c r="F1424" s="714"/>
      <c r="G1424" s="714"/>
      <c r="H1424" s="714"/>
      <c r="I1424" s="715"/>
      <c r="J1424" s="337"/>
    </row>
    <row r="1425" spans="2:10" s="334" customFormat="1" ht="30" customHeight="1">
      <c r="B1425" s="375" t="s">
        <v>59</v>
      </c>
      <c r="C1425" s="36" t="s">
        <v>60</v>
      </c>
      <c r="D1425" s="376" t="s">
        <v>6</v>
      </c>
      <c r="E1425" s="362"/>
      <c r="F1425" s="362"/>
      <c r="G1425" s="362"/>
      <c r="H1425" s="347" t="s">
        <v>71</v>
      </c>
      <c r="I1425" s="359" t="s">
        <v>65</v>
      </c>
      <c r="J1425" s="337"/>
    </row>
    <row r="1426" spans="2:10" s="334" customFormat="1" ht="14.1" customHeight="1">
      <c r="B1426" s="377" t="s">
        <v>441</v>
      </c>
      <c r="C1426" s="378" t="s">
        <v>67</v>
      </c>
      <c r="D1426" s="379">
        <v>2</v>
      </c>
      <c r="E1426" s="362"/>
      <c r="F1426" s="362"/>
      <c r="G1426" s="362"/>
      <c r="H1426" s="363">
        <f>INSUMOS!E21</f>
        <v>4.55</v>
      </c>
      <c r="I1426" s="364">
        <f>D1426*H1426</f>
        <v>9.1</v>
      </c>
      <c r="J1426" s="337"/>
    </row>
    <row r="1427" spans="2:10" s="334" customFormat="1" ht="15" customHeight="1">
      <c r="B1427" s="377" t="s">
        <v>446</v>
      </c>
      <c r="C1427" s="378" t="s">
        <v>67</v>
      </c>
      <c r="D1427" s="379">
        <v>3</v>
      </c>
      <c r="E1427" s="362"/>
      <c r="F1427" s="362"/>
      <c r="G1427" s="362"/>
      <c r="H1427" s="363">
        <f>INSUMOS!E15</f>
        <v>3.42</v>
      </c>
      <c r="I1427" s="364">
        <f>D1427*H1427</f>
        <v>10.26</v>
      </c>
      <c r="J1427" s="337"/>
    </row>
    <row r="1428" spans="2:10" s="334" customFormat="1" ht="15" customHeight="1">
      <c r="B1428" s="377" t="s">
        <v>149</v>
      </c>
      <c r="C1428" s="378" t="s">
        <v>67</v>
      </c>
      <c r="D1428" s="379">
        <v>1</v>
      </c>
      <c r="E1428" s="362"/>
      <c r="F1428" s="362"/>
      <c r="G1428" s="362"/>
      <c r="H1428" s="363">
        <f>INSUMOS!E19</f>
        <v>4.55</v>
      </c>
      <c r="I1428" s="364">
        <f>D1428*H1428</f>
        <v>4.55</v>
      </c>
      <c r="J1428" s="337"/>
    </row>
    <row r="1429" spans="2:10" s="334" customFormat="1" ht="15" customHeight="1">
      <c r="B1429" s="635" t="s">
        <v>576</v>
      </c>
      <c r="C1429" s="635"/>
      <c r="D1429" s="635"/>
      <c r="E1429" s="635"/>
      <c r="F1429" s="635"/>
      <c r="G1429" s="635"/>
      <c r="H1429" s="635"/>
      <c r="I1429" s="354">
        <f>SUM(I1426:I1428)*0.9103</f>
        <v>21.77</v>
      </c>
      <c r="J1429" s="337"/>
    </row>
    <row r="1430" spans="2:10" s="334" customFormat="1" ht="15" customHeight="1">
      <c r="B1430" s="712" t="s">
        <v>69</v>
      </c>
      <c r="C1430" s="689"/>
      <c r="D1430" s="689"/>
      <c r="E1430" s="689"/>
      <c r="F1430" s="689"/>
      <c r="G1430" s="689"/>
      <c r="H1430" s="689"/>
      <c r="I1430" s="354">
        <f>SUM(I1426:I1429)</f>
        <v>45.68</v>
      </c>
      <c r="J1430" s="337"/>
    </row>
    <row r="1431" spans="2:10" s="334" customFormat="1" ht="14.1" customHeight="1">
      <c r="B1431" s="380" t="s">
        <v>76</v>
      </c>
      <c r="C1431" s="381">
        <v>1</v>
      </c>
      <c r="D1431" s="689" t="s">
        <v>77</v>
      </c>
      <c r="E1431" s="689"/>
      <c r="F1431" s="689"/>
      <c r="G1431" s="689"/>
      <c r="H1431" s="689"/>
      <c r="I1431" s="354">
        <f>I1430+I1423+I1419+I1415</f>
        <v>155.66</v>
      </c>
      <c r="J1431" s="337"/>
    </row>
    <row r="1432" spans="2:10" s="334" customFormat="1" ht="14.1" customHeight="1">
      <c r="B1432" s="690" t="s">
        <v>442</v>
      </c>
      <c r="C1432" s="691"/>
      <c r="D1432" s="692"/>
      <c r="E1432" s="692"/>
      <c r="F1432" s="692"/>
      <c r="G1432" s="692"/>
      <c r="H1432" s="692"/>
      <c r="I1432" s="364">
        <f>I1431/C1431</f>
        <v>155.66</v>
      </c>
      <c r="J1432" s="337"/>
    </row>
    <row r="1433" spans="2:10" s="334" customFormat="1" ht="14.1" customHeight="1">
      <c r="B1433" s="382" t="s">
        <v>443</v>
      </c>
      <c r="C1433" s="383">
        <f>BDI!C37</f>
        <v>24.5</v>
      </c>
      <c r="D1433" s="693" t="s">
        <v>269</v>
      </c>
      <c r="E1433" s="694"/>
      <c r="F1433" s="694"/>
      <c r="G1433" s="694"/>
      <c r="H1433" s="695"/>
      <c r="I1433" s="364">
        <f>I1432/100*C1433</f>
        <v>38.14</v>
      </c>
      <c r="J1433" s="337"/>
    </row>
    <row r="1434" spans="2:10" s="334" customFormat="1" ht="14.1" customHeight="1" thickBot="1">
      <c r="B1434" s="709" t="s">
        <v>78</v>
      </c>
      <c r="C1434" s="710"/>
      <c r="D1434" s="710"/>
      <c r="E1434" s="710"/>
      <c r="F1434" s="710"/>
      <c r="G1434" s="710"/>
      <c r="H1434" s="711"/>
      <c r="I1434" s="135">
        <f>SUM(I1432:I1433)</f>
        <v>193.8</v>
      </c>
      <c r="J1434" s="337"/>
    </row>
    <row r="1435" spans="2:10" s="334" customFormat="1" ht="30" customHeight="1">
      <c r="B1435" s="33"/>
      <c r="C1435" s="130"/>
      <c r="D1435" s="130"/>
      <c r="E1435" s="33"/>
      <c r="F1435" s="33"/>
      <c r="G1435" s="33"/>
      <c r="H1435" s="33"/>
      <c r="I1435" s="130"/>
      <c r="J1435" s="337"/>
    </row>
    <row r="1439" spans="2:10" ht="13.5" thickBot="1"/>
    <row r="1440" spans="2:10" ht="15.75">
      <c r="B1440" s="200" t="s">
        <v>55</v>
      </c>
      <c r="C1440" s="474" t="str">
        <f>'Planilha Orçamentária'!B79</f>
        <v>4.16</v>
      </c>
      <c r="D1440" s="639" t="s">
        <v>56</v>
      </c>
      <c r="E1440" s="639"/>
      <c r="F1440" s="639"/>
      <c r="G1440" s="639"/>
      <c r="H1440" s="639"/>
      <c r="I1440" s="639"/>
    </row>
    <row r="1441" spans="1:9" s="127" customFormat="1" ht="30" customHeight="1">
      <c r="B1441" s="640" t="s">
        <v>332</v>
      </c>
      <c r="C1441" s="641"/>
      <c r="D1441" s="641"/>
      <c r="E1441" s="641"/>
      <c r="F1441" s="641"/>
      <c r="G1441" s="642"/>
      <c r="H1441" s="643" t="s">
        <v>700</v>
      </c>
      <c r="I1441" s="644"/>
    </row>
    <row r="1442" spans="1:9" s="127" customFormat="1" ht="30" customHeight="1">
      <c r="B1442" s="625" t="s">
        <v>548</v>
      </c>
      <c r="C1442" s="625"/>
      <c r="D1442" s="625"/>
      <c r="E1442" s="625"/>
      <c r="F1442" s="625"/>
      <c r="G1442" s="625"/>
      <c r="H1442" s="34" t="s">
        <v>57</v>
      </c>
      <c r="I1442" s="126" t="s">
        <v>379</v>
      </c>
    </row>
    <row r="1443" spans="1:9" s="127" customFormat="1" ht="30" customHeight="1">
      <c r="B1443" s="626" t="s">
        <v>58</v>
      </c>
      <c r="C1443" s="626"/>
      <c r="D1443" s="626"/>
      <c r="E1443" s="626"/>
      <c r="F1443" s="626"/>
      <c r="G1443" s="626"/>
      <c r="H1443" s="626"/>
      <c r="I1443" s="626"/>
    </row>
    <row r="1444" spans="1:9" s="127" customFormat="1" ht="30" customHeight="1">
      <c r="B1444" s="35" t="s">
        <v>59</v>
      </c>
      <c r="C1444" s="172" t="s">
        <v>5</v>
      </c>
      <c r="D1444" s="36" t="s">
        <v>6</v>
      </c>
      <c r="E1444" s="36" t="s">
        <v>61</v>
      </c>
      <c r="F1444" s="36" t="s">
        <v>62</v>
      </c>
      <c r="G1444" s="36" t="s">
        <v>63</v>
      </c>
      <c r="H1444" s="36" t="s">
        <v>64</v>
      </c>
      <c r="I1444" s="37" t="s">
        <v>65</v>
      </c>
    </row>
    <row r="1445" spans="1:9">
      <c r="A1445" s="93"/>
      <c r="B1445" s="97" t="s">
        <v>125</v>
      </c>
      <c r="C1445" s="88" t="s">
        <v>67</v>
      </c>
      <c r="D1445" s="89">
        <v>1.5</v>
      </c>
      <c r="E1445" s="47"/>
      <c r="F1445" s="47"/>
      <c r="G1445" s="56">
        <f>INSUMOS!E58</f>
        <v>2.94</v>
      </c>
      <c r="I1445" s="90">
        <f>G1445*D1445</f>
        <v>4.41</v>
      </c>
    </row>
    <row r="1446" spans="1:9" ht="15.95" customHeight="1">
      <c r="B1446" s="628" t="s">
        <v>69</v>
      </c>
      <c r="C1446" s="628"/>
      <c r="D1446" s="628"/>
      <c r="E1446" s="628"/>
      <c r="F1446" s="628"/>
      <c r="G1446" s="628"/>
      <c r="H1446" s="628"/>
      <c r="I1446" s="95">
        <f>SUM(I1445:I1445)</f>
        <v>4.41</v>
      </c>
    </row>
    <row r="1447" spans="1:9" ht="15.95" customHeight="1">
      <c r="B1447" s="626" t="s">
        <v>70</v>
      </c>
      <c r="C1447" s="626"/>
      <c r="D1447" s="626"/>
      <c r="E1447" s="626"/>
      <c r="F1447" s="626"/>
      <c r="G1447" s="626"/>
      <c r="H1447" s="626"/>
      <c r="I1447" s="626"/>
    </row>
    <row r="1448" spans="1:9" s="127" customFormat="1" ht="30" customHeight="1">
      <c r="B1448" s="179" t="s">
        <v>59</v>
      </c>
      <c r="C1448" s="180" t="s">
        <v>5</v>
      </c>
      <c r="D1448" s="47" t="s">
        <v>6</v>
      </c>
      <c r="E1448" s="46"/>
      <c r="F1448" s="46"/>
      <c r="G1448" s="46"/>
      <c r="H1448" s="47" t="s">
        <v>71</v>
      </c>
      <c r="I1448" s="90" t="s">
        <v>65</v>
      </c>
    </row>
    <row r="1449" spans="1:9" ht="15.95" customHeight="1">
      <c r="B1449" s="97" t="s">
        <v>159</v>
      </c>
      <c r="C1449" s="47" t="s">
        <v>27</v>
      </c>
      <c r="D1449" s="71">
        <v>2</v>
      </c>
      <c r="E1449" s="46"/>
      <c r="F1449" s="46"/>
      <c r="G1449" s="46"/>
      <c r="H1449" s="56">
        <f>INSUMOS!E88</f>
        <v>2.7</v>
      </c>
      <c r="I1449" s="90">
        <f>H1449*D1449</f>
        <v>5.4</v>
      </c>
    </row>
    <row r="1450" spans="1:9" ht="15.95" customHeight="1">
      <c r="B1450" s="97" t="s">
        <v>151</v>
      </c>
      <c r="C1450" s="47" t="s">
        <v>85</v>
      </c>
      <c r="D1450" s="71">
        <f>2*0.2*0.15+1*0.2*0.15</f>
        <v>0.09</v>
      </c>
      <c r="E1450" s="46"/>
      <c r="F1450" s="46"/>
      <c r="G1450" s="46"/>
      <c r="H1450" s="56">
        <f>INSUMOS!E89</f>
        <v>15.41</v>
      </c>
      <c r="I1450" s="90">
        <f t="shared" ref="I1450:I1462" si="6">H1450*D1450</f>
        <v>1.39</v>
      </c>
    </row>
    <row r="1451" spans="1:9" ht="15.95" customHeight="1">
      <c r="B1451" s="97" t="s">
        <v>160</v>
      </c>
      <c r="C1451" s="47" t="s">
        <v>88</v>
      </c>
      <c r="D1451" s="71">
        <v>24.3</v>
      </c>
      <c r="E1451" s="46"/>
      <c r="F1451" s="46"/>
      <c r="G1451" s="46"/>
      <c r="H1451" s="56">
        <f>INSUMOS!E68</f>
        <v>3.31</v>
      </c>
      <c r="I1451" s="90">
        <f t="shared" si="6"/>
        <v>80.430000000000007</v>
      </c>
    </row>
    <row r="1452" spans="1:9" ht="15.95" customHeight="1">
      <c r="B1452" s="103" t="s">
        <v>161</v>
      </c>
      <c r="C1452" s="47" t="s">
        <v>88</v>
      </c>
      <c r="D1452" s="71">
        <v>0.53</v>
      </c>
      <c r="E1452" s="46"/>
      <c r="F1452" s="46"/>
      <c r="G1452" s="46"/>
      <c r="H1452" s="56">
        <f>INSUMOS!E67</f>
        <v>8.5</v>
      </c>
      <c r="I1452" s="90">
        <f t="shared" si="6"/>
        <v>4.51</v>
      </c>
    </row>
    <row r="1453" spans="1:9" ht="15.95" customHeight="1">
      <c r="B1453" s="103" t="s">
        <v>146</v>
      </c>
      <c r="C1453" s="47" t="s">
        <v>32</v>
      </c>
      <c r="D1453" s="71">
        <v>0.66</v>
      </c>
      <c r="E1453" s="46"/>
      <c r="F1453" s="46"/>
      <c r="G1453" s="47"/>
      <c r="H1453" s="56">
        <f>INSUMOS!E45</f>
        <v>70</v>
      </c>
      <c r="I1453" s="90">
        <f t="shared" si="6"/>
        <v>46.2</v>
      </c>
    </row>
    <row r="1454" spans="1:9" ht="15.95" customHeight="1">
      <c r="B1454" s="103" t="s">
        <v>155</v>
      </c>
      <c r="C1454" s="47" t="s">
        <v>32</v>
      </c>
      <c r="D1454" s="71">
        <f>3*0.03774</f>
        <v>0.11</v>
      </c>
      <c r="E1454" s="46"/>
      <c r="F1454" s="46"/>
      <c r="G1454" s="47"/>
      <c r="H1454" s="56">
        <f>INSUMOS!E45</f>
        <v>70</v>
      </c>
      <c r="I1454" s="90">
        <f>H1454*D1454</f>
        <v>7.7</v>
      </c>
    </row>
    <row r="1455" spans="1:9" ht="15.95" customHeight="1">
      <c r="B1455" s="103" t="s">
        <v>147</v>
      </c>
      <c r="C1455" s="47" t="s">
        <v>88</v>
      </c>
      <c r="D1455" s="71">
        <v>60</v>
      </c>
      <c r="E1455" s="46"/>
      <c r="F1455" s="46"/>
      <c r="G1455" s="47"/>
      <c r="H1455" s="56">
        <f>INSUMOS!E40</f>
        <v>0.5</v>
      </c>
      <c r="I1455" s="90">
        <f t="shared" si="6"/>
        <v>30</v>
      </c>
    </row>
    <row r="1456" spans="1:9" ht="15.95" customHeight="1">
      <c r="B1456" s="38" t="s">
        <v>148</v>
      </c>
      <c r="C1456" s="47" t="s">
        <v>32</v>
      </c>
      <c r="D1456" s="71">
        <f>1.5*0.0138+2*2*0.029+1*0.029</f>
        <v>0.17</v>
      </c>
      <c r="E1456" s="46"/>
      <c r="F1456" s="46"/>
      <c r="G1456" s="46"/>
      <c r="H1456" s="56">
        <f>INSUMOS!E41</f>
        <v>68.13</v>
      </c>
      <c r="I1456" s="90">
        <f t="shared" si="6"/>
        <v>11.58</v>
      </c>
    </row>
    <row r="1457" spans="2:11" ht="15.95" customHeight="1">
      <c r="B1457" s="38" t="s">
        <v>153</v>
      </c>
      <c r="C1457" s="47" t="s">
        <v>88</v>
      </c>
      <c r="D1457" s="71">
        <v>2.5</v>
      </c>
      <c r="E1457" s="46"/>
      <c r="F1457" s="46"/>
      <c r="G1457" s="46"/>
      <c r="H1457" s="56">
        <f>INSUMOS!E69</f>
        <v>0.89</v>
      </c>
      <c r="I1457" s="90">
        <f t="shared" si="6"/>
        <v>2.23</v>
      </c>
    </row>
    <row r="1458" spans="2:11" ht="15.95" customHeight="1">
      <c r="B1458" s="38" t="s">
        <v>154</v>
      </c>
      <c r="C1458" s="85" t="s">
        <v>379</v>
      </c>
      <c r="D1458" s="71">
        <f>1.5*2*27</f>
        <v>81</v>
      </c>
      <c r="E1458" s="46"/>
      <c r="F1458" s="46"/>
      <c r="G1458" s="46"/>
      <c r="H1458" s="56">
        <f>INSUMOS!E59</f>
        <v>0.45</v>
      </c>
      <c r="I1458" s="90">
        <f t="shared" si="6"/>
        <v>36.450000000000003</v>
      </c>
    </row>
    <row r="1459" spans="2:11" ht="15.95" customHeight="1">
      <c r="B1459" s="38" t="s">
        <v>162</v>
      </c>
      <c r="C1459" s="47" t="s">
        <v>32</v>
      </c>
      <c r="D1459" s="71">
        <f>1.7*0.3*0.3</f>
        <v>0.15</v>
      </c>
      <c r="E1459" s="46"/>
      <c r="F1459" s="46"/>
      <c r="G1459" s="46"/>
      <c r="H1459" s="56">
        <f>INSUMOS!E43</f>
        <v>53.32</v>
      </c>
      <c r="I1459" s="90">
        <f t="shared" si="6"/>
        <v>8</v>
      </c>
    </row>
    <row r="1460" spans="2:11" ht="15.95" customHeight="1">
      <c r="B1460" s="38" t="s">
        <v>163</v>
      </c>
      <c r="C1460" s="47" t="s">
        <v>94</v>
      </c>
      <c r="D1460" s="71">
        <v>5</v>
      </c>
      <c r="E1460" s="46"/>
      <c r="F1460" s="46"/>
      <c r="G1460" s="46"/>
      <c r="H1460" s="56">
        <f>INSUMOS!E76</f>
        <v>12.9</v>
      </c>
      <c r="I1460" s="90">
        <f t="shared" si="6"/>
        <v>64.5</v>
      </c>
    </row>
    <row r="1461" spans="2:11" ht="27" customHeight="1">
      <c r="B1461" s="122" t="s">
        <v>165</v>
      </c>
      <c r="C1461" s="47" t="s">
        <v>85</v>
      </c>
      <c r="D1461" s="71">
        <f>1.5*1</f>
        <v>1.5</v>
      </c>
      <c r="E1461" s="46"/>
      <c r="F1461" s="46"/>
      <c r="G1461" s="46"/>
      <c r="H1461" s="56">
        <f>INSUMOS!E79</f>
        <v>27.86</v>
      </c>
      <c r="I1461" s="90">
        <f t="shared" si="6"/>
        <v>41.79</v>
      </c>
    </row>
    <row r="1462" spans="2:11" ht="18.75" customHeight="1">
      <c r="B1462" s="38" t="s">
        <v>167</v>
      </c>
      <c r="C1462" s="85" t="s">
        <v>379</v>
      </c>
      <c r="D1462" s="71">
        <v>3</v>
      </c>
      <c r="E1462" s="46"/>
      <c r="F1462" s="46"/>
      <c r="G1462" s="46"/>
      <c r="H1462" s="56">
        <f>INSUMOS!E80</f>
        <v>0.28000000000000003</v>
      </c>
      <c r="I1462" s="90">
        <f t="shared" si="6"/>
        <v>0.84</v>
      </c>
      <c r="K1462" s="33" t="s">
        <v>166</v>
      </c>
    </row>
    <row r="1463" spans="2:11" ht="15.95" customHeight="1">
      <c r="B1463" s="628" t="s">
        <v>69</v>
      </c>
      <c r="C1463" s="628"/>
      <c r="D1463" s="628"/>
      <c r="E1463" s="628"/>
      <c r="F1463" s="628"/>
      <c r="G1463" s="628"/>
      <c r="H1463" s="628"/>
      <c r="I1463" s="90">
        <f>SUM(I1449:I1462)</f>
        <v>341.02</v>
      </c>
    </row>
    <row r="1464" spans="2:11" ht="15.95" customHeight="1">
      <c r="B1464" s="626" t="s">
        <v>72</v>
      </c>
      <c r="C1464" s="626"/>
      <c r="D1464" s="626"/>
      <c r="E1464" s="626"/>
      <c r="F1464" s="626"/>
      <c r="G1464" s="626"/>
      <c r="H1464" s="626"/>
      <c r="I1464" s="626"/>
    </row>
    <row r="1465" spans="2:11" s="127" customFormat="1" ht="30" customHeight="1">
      <c r="B1465" s="45" t="s">
        <v>59</v>
      </c>
      <c r="C1465" s="71" t="s">
        <v>5</v>
      </c>
      <c r="D1465" s="47" t="s">
        <v>6</v>
      </c>
      <c r="E1465" s="46"/>
      <c r="F1465" s="46"/>
      <c r="G1465" s="46"/>
      <c r="H1465" s="47" t="s">
        <v>71</v>
      </c>
      <c r="I1465" s="90" t="s">
        <v>65</v>
      </c>
    </row>
    <row r="1466" spans="2:11">
      <c r="B1466" s="84"/>
      <c r="C1466" s="47"/>
      <c r="D1466" s="47"/>
      <c r="E1466" s="46"/>
      <c r="F1466" s="46"/>
      <c r="G1466" s="46"/>
      <c r="H1466" s="47"/>
      <c r="I1466" s="90">
        <f>D1466*H1466</f>
        <v>0</v>
      </c>
    </row>
    <row r="1467" spans="2:11">
      <c r="B1467" s="628" t="s">
        <v>69</v>
      </c>
      <c r="C1467" s="628"/>
      <c r="D1467" s="628"/>
      <c r="E1467" s="628"/>
      <c r="F1467" s="628"/>
      <c r="G1467" s="628"/>
      <c r="H1467" s="628"/>
      <c r="I1467" s="90">
        <f>SUM(I1466:I1466)</f>
        <v>0</v>
      </c>
    </row>
    <row r="1468" spans="2:11">
      <c r="B1468" s="626" t="s">
        <v>74</v>
      </c>
      <c r="C1468" s="626"/>
      <c r="D1468" s="626"/>
      <c r="E1468" s="626"/>
      <c r="F1468" s="626"/>
      <c r="G1468" s="626"/>
      <c r="H1468" s="626"/>
      <c r="I1468" s="626"/>
    </row>
    <row r="1469" spans="2:11" s="127" customFormat="1" ht="30" customHeight="1">
      <c r="B1469" s="179" t="s">
        <v>59</v>
      </c>
      <c r="C1469" s="180" t="s">
        <v>5</v>
      </c>
      <c r="D1469" s="144" t="s">
        <v>6</v>
      </c>
      <c r="E1469" s="46"/>
      <c r="F1469" s="46"/>
      <c r="G1469" s="46"/>
      <c r="H1469" s="47" t="s">
        <v>71</v>
      </c>
      <c r="I1469" s="90" t="s">
        <v>65</v>
      </c>
    </row>
    <row r="1470" spans="2:11" ht="15.95" customHeight="1">
      <c r="B1470" s="53" t="s">
        <v>75</v>
      </c>
      <c r="C1470" s="71" t="s">
        <v>67</v>
      </c>
      <c r="D1470" s="47">
        <v>10</v>
      </c>
      <c r="E1470" s="46"/>
      <c r="F1470" s="46"/>
      <c r="G1470" s="46"/>
      <c r="H1470" s="56">
        <f>INSUMOS!E14</f>
        <v>3.42</v>
      </c>
      <c r="I1470" s="90">
        <f>H1470*D1470</f>
        <v>34.200000000000003</v>
      </c>
    </row>
    <row r="1471" spans="2:11" ht="15.95" customHeight="1">
      <c r="B1471" s="119" t="s">
        <v>149</v>
      </c>
      <c r="C1471" s="71" t="s">
        <v>67</v>
      </c>
      <c r="D1471" s="47">
        <v>8</v>
      </c>
      <c r="E1471" s="46"/>
      <c r="F1471" s="46"/>
      <c r="G1471" s="46"/>
      <c r="H1471" s="56">
        <f>INSUMOS!E19</f>
        <v>4.55</v>
      </c>
      <c r="I1471" s="90">
        <f>H1471*D1471</f>
        <v>36.4</v>
      </c>
    </row>
    <row r="1472" spans="2:11" ht="15.95" customHeight="1">
      <c r="B1472" s="635" t="s">
        <v>576</v>
      </c>
      <c r="C1472" s="635"/>
      <c r="D1472" s="635"/>
      <c r="E1472" s="635"/>
      <c r="F1472" s="635"/>
      <c r="G1472" s="635"/>
      <c r="H1472" s="635"/>
      <c r="I1472" s="90">
        <f>SUM(I1470:I1471)*0.9103</f>
        <v>64.27</v>
      </c>
    </row>
    <row r="1473" spans="2:9" ht="15.95" customHeight="1">
      <c r="B1473" s="628" t="s">
        <v>69</v>
      </c>
      <c r="C1473" s="628"/>
      <c r="D1473" s="628"/>
      <c r="E1473" s="628"/>
      <c r="F1473" s="628"/>
      <c r="G1473" s="628"/>
      <c r="H1473" s="628"/>
      <c r="I1473" s="95">
        <f>SUM(I1470:I1472)</f>
        <v>134.87</v>
      </c>
    </row>
    <row r="1474" spans="2:9" ht="15.95" customHeight="1">
      <c r="B1474" s="54" t="s">
        <v>76</v>
      </c>
      <c r="C1474" s="47">
        <v>1</v>
      </c>
      <c r="D1474" s="652" t="s">
        <v>77</v>
      </c>
      <c r="E1474" s="652"/>
      <c r="F1474" s="652"/>
      <c r="G1474" s="652"/>
      <c r="H1474" s="652"/>
      <c r="I1474" s="95">
        <f>I1473+I1467+I1463+I1446</f>
        <v>480.3</v>
      </c>
    </row>
    <row r="1475" spans="2:9" ht="15.95" customHeight="1">
      <c r="B1475" s="632"/>
      <c r="C1475" s="633"/>
      <c r="D1475" s="633"/>
      <c r="E1475" s="633"/>
      <c r="F1475" s="633"/>
      <c r="G1475" s="633"/>
      <c r="H1475" s="634"/>
      <c r="I1475" s="95">
        <f>I1474/C1474</f>
        <v>480.3</v>
      </c>
    </row>
    <row r="1476" spans="2:9" ht="15.95" customHeight="1">
      <c r="B1476" s="139" t="s">
        <v>334</v>
      </c>
      <c r="C1476" s="145">
        <f>BDI!C37</f>
        <v>24.5</v>
      </c>
      <c r="D1476" s="146" t="s">
        <v>269</v>
      </c>
      <c r="E1476" s="136"/>
      <c r="F1476" s="136"/>
      <c r="G1476" s="136"/>
      <c r="H1476" s="137"/>
      <c r="I1476" s="90">
        <f>C1476/100*I1475</f>
        <v>117.67</v>
      </c>
    </row>
    <row r="1477" spans="2:9" ht="15.95" customHeight="1" thickBot="1">
      <c r="B1477" s="627" t="s">
        <v>78</v>
      </c>
      <c r="C1477" s="627"/>
      <c r="D1477" s="627"/>
      <c r="E1477" s="627"/>
      <c r="F1477" s="627"/>
      <c r="G1477" s="627"/>
      <c r="H1477" s="627"/>
      <c r="I1477" s="135">
        <f>SUM(I1475:I1476)</f>
        <v>597.97</v>
      </c>
    </row>
    <row r="1478" spans="2:9" ht="30" customHeight="1"/>
    <row r="1483" spans="2:9" ht="13.5" thickBot="1"/>
    <row r="1484" spans="2:9" ht="15.75">
      <c r="B1484" s="200" t="s">
        <v>55</v>
      </c>
      <c r="C1484" s="474"/>
      <c r="D1484" s="734" t="s">
        <v>56</v>
      </c>
      <c r="E1484" s="735"/>
      <c r="F1484" s="735"/>
      <c r="G1484" s="735"/>
      <c r="H1484" s="735"/>
      <c r="I1484" s="736"/>
    </row>
    <row r="1485" spans="2:9" ht="30" customHeight="1">
      <c r="B1485" s="655" t="s">
        <v>332</v>
      </c>
      <c r="C1485" s="656"/>
      <c r="D1485" s="656"/>
      <c r="E1485" s="656"/>
      <c r="F1485" s="656"/>
      <c r="G1485" s="657"/>
      <c r="H1485" s="643" t="s">
        <v>700</v>
      </c>
      <c r="I1485" s="644"/>
    </row>
    <row r="1486" spans="2:9" s="127" customFormat="1" ht="30" customHeight="1">
      <c r="B1486" s="737" t="s">
        <v>488</v>
      </c>
      <c r="C1486" s="738"/>
      <c r="D1486" s="738"/>
      <c r="E1486" s="738"/>
      <c r="F1486" s="738"/>
      <c r="G1486" s="739"/>
      <c r="H1486" s="34" t="s">
        <v>57</v>
      </c>
      <c r="I1486" s="126" t="s">
        <v>379</v>
      </c>
    </row>
    <row r="1487" spans="2:9" ht="30" customHeight="1">
      <c r="B1487" s="658" t="s">
        <v>58</v>
      </c>
      <c r="C1487" s="659"/>
      <c r="D1487" s="659"/>
      <c r="E1487" s="659"/>
      <c r="F1487" s="659"/>
      <c r="G1487" s="659"/>
      <c r="H1487" s="659"/>
      <c r="I1487" s="660"/>
    </row>
    <row r="1488" spans="2:9" ht="30" customHeight="1">
      <c r="B1488" s="35" t="s">
        <v>59</v>
      </c>
      <c r="C1488" s="172" t="s">
        <v>5</v>
      </c>
      <c r="D1488" s="36" t="s">
        <v>6</v>
      </c>
      <c r="E1488" s="36" t="s">
        <v>61</v>
      </c>
      <c r="F1488" s="36" t="s">
        <v>62</v>
      </c>
      <c r="G1488" s="36" t="s">
        <v>63</v>
      </c>
      <c r="H1488" s="36" t="s">
        <v>64</v>
      </c>
      <c r="I1488" s="37" t="s">
        <v>65</v>
      </c>
    </row>
    <row r="1489" spans="1:9">
      <c r="A1489" s="93"/>
      <c r="B1489" s="97"/>
      <c r="C1489" s="39"/>
      <c r="D1489" s="140"/>
      <c r="E1489" s="40"/>
      <c r="F1489" s="40"/>
      <c r="G1489" s="40"/>
      <c r="H1489" s="40"/>
      <c r="I1489" s="43">
        <f>H1489*D1489</f>
        <v>0</v>
      </c>
    </row>
    <row r="1490" spans="1:9" ht="15.95" customHeight="1">
      <c r="B1490" s="661" t="s">
        <v>69</v>
      </c>
      <c r="C1490" s="662"/>
      <c r="D1490" s="662"/>
      <c r="E1490" s="662"/>
      <c r="F1490" s="662"/>
      <c r="G1490" s="662"/>
      <c r="H1490" s="663"/>
      <c r="I1490" s="95">
        <f>SUM(I1489:I1489)</f>
        <v>0</v>
      </c>
    </row>
    <row r="1491" spans="1:9" ht="15.95" customHeight="1">
      <c r="B1491" s="658" t="s">
        <v>70</v>
      </c>
      <c r="C1491" s="659"/>
      <c r="D1491" s="659"/>
      <c r="E1491" s="659"/>
      <c r="F1491" s="659"/>
      <c r="G1491" s="659"/>
      <c r="H1491" s="659"/>
      <c r="I1491" s="660"/>
    </row>
    <row r="1492" spans="1:9" ht="30" customHeight="1">
      <c r="B1492" s="96" t="s">
        <v>59</v>
      </c>
      <c r="C1492" s="78" t="s">
        <v>5</v>
      </c>
      <c r="D1492" s="40" t="s">
        <v>6</v>
      </c>
      <c r="E1492" s="42"/>
      <c r="F1492" s="42"/>
      <c r="G1492" s="42"/>
      <c r="H1492" s="40" t="s">
        <v>71</v>
      </c>
      <c r="I1492" s="43" t="s">
        <v>65</v>
      </c>
    </row>
    <row r="1493" spans="1:9" ht="15.95" customHeight="1">
      <c r="B1493" s="84"/>
      <c r="C1493" s="85"/>
      <c r="D1493" s="86"/>
      <c r="E1493" s="50"/>
      <c r="F1493" s="50"/>
      <c r="G1493" s="50"/>
      <c r="H1493" s="49"/>
      <c r="I1493" s="87">
        <f>H1493*D1493</f>
        <v>0</v>
      </c>
    </row>
    <row r="1494" spans="1:9" ht="15.95" customHeight="1">
      <c r="B1494" s="661" t="s">
        <v>69</v>
      </c>
      <c r="C1494" s="662"/>
      <c r="D1494" s="662"/>
      <c r="E1494" s="662"/>
      <c r="F1494" s="662"/>
      <c r="G1494" s="662"/>
      <c r="H1494" s="663"/>
      <c r="I1494" s="90">
        <f>SUM(I1493:I1493)</f>
        <v>0</v>
      </c>
    </row>
    <row r="1495" spans="1:9" ht="15.95" customHeight="1">
      <c r="B1495" s="658" t="s">
        <v>72</v>
      </c>
      <c r="C1495" s="659"/>
      <c r="D1495" s="659"/>
      <c r="E1495" s="659"/>
      <c r="F1495" s="659"/>
      <c r="G1495" s="659"/>
      <c r="H1495" s="659"/>
      <c r="I1495" s="660"/>
    </row>
    <row r="1496" spans="1:9" ht="30" customHeight="1">
      <c r="B1496" s="45" t="s">
        <v>59</v>
      </c>
      <c r="C1496" s="57" t="s">
        <v>5</v>
      </c>
      <c r="D1496" s="47" t="s">
        <v>6</v>
      </c>
      <c r="E1496" s="46"/>
      <c r="F1496" s="46"/>
      <c r="G1496" s="46"/>
      <c r="H1496" s="47" t="s">
        <v>71</v>
      </c>
      <c r="I1496" s="43" t="s">
        <v>65</v>
      </c>
    </row>
    <row r="1497" spans="1:9" ht="15.95" customHeight="1">
      <c r="B1497" s="84"/>
      <c r="C1497" s="47"/>
      <c r="D1497" s="47"/>
      <c r="E1497" s="46"/>
      <c r="F1497" s="46"/>
      <c r="G1497" s="46"/>
      <c r="H1497" s="47"/>
      <c r="I1497" s="90">
        <f>D1497*H1497</f>
        <v>0</v>
      </c>
    </row>
    <row r="1498" spans="1:9" ht="15.95" customHeight="1">
      <c r="B1498" s="661" t="s">
        <v>69</v>
      </c>
      <c r="C1498" s="662"/>
      <c r="D1498" s="662"/>
      <c r="E1498" s="662"/>
      <c r="F1498" s="662"/>
      <c r="G1498" s="662"/>
      <c r="H1498" s="663"/>
      <c r="I1498" s="90">
        <f>SUM(I1497:I1497)</f>
        <v>0</v>
      </c>
    </row>
    <row r="1499" spans="1:9" ht="15.95" customHeight="1">
      <c r="B1499" s="658" t="s">
        <v>74</v>
      </c>
      <c r="C1499" s="659"/>
      <c r="D1499" s="659"/>
      <c r="E1499" s="659"/>
      <c r="F1499" s="659"/>
      <c r="G1499" s="659"/>
      <c r="H1499" s="659"/>
      <c r="I1499" s="660"/>
    </row>
    <row r="1500" spans="1:9" ht="30" customHeight="1">
      <c r="B1500" s="96" t="s">
        <v>59</v>
      </c>
      <c r="C1500" s="78" t="s">
        <v>5</v>
      </c>
      <c r="D1500" s="110" t="s">
        <v>6</v>
      </c>
      <c r="E1500" s="42"/>
      <c r="F1500" s="42"/>
      <c r="G1500" s="42"/>
      <c r="H1500" s="40" t="s">
        <v>71</v>
      </c>
      <c r="I1500" s="43" t="s">
        <v>65</v>
      </c>
    </row>
    <row r="1501" spans="1:9" ht="15.95" customHeight="1">
      <c r="B1501" s="53" t="s">
        <v>99</v>
      </c>
      <c r="C1501" s="71" t="s">
        <v>67</v>
      </c>
      <c r="D1501" s="47">
        <v>0.5</v>
      </c>
      <c r="E1501" s="46"/>
      <c r="F1501" s="46"/>
      <c r="G1501" s="46"/>
      <c r="H1501" s="56">
        <f>INSUMOS!E17</f>
        <v>9.94</v>
      </c>
      <c r="I1501" s="90">
        <f>H1501*D1501</f>
        <v>4.97</v>
      </c>
    </row>
    <row r="1502" spans="1:9" ht="15.95" customHeight="1">
      <c r="B1502" s="91" t="s">
        <v>75</v>
      </c>
      <c r="C1502" s="71" t="s">
        <v>67</v>
      </c>
      <c r="D1502" s="47">
        <v>2</v>
      </c>
      <c r="E1502" s="46"/>
      <c r="F1502" s="46"/>
      <c r="G1502" s="46"/>
      <c r="H1502" s="56">
        <f>INSUMOS!E14</f>
        <v>3.42</v>
      </c>
      <c r="I1502" s="90">
        <f>H1502*D1502</f>
        <v>6.84</v>
      </c>
    </row>
    <row r="1503" spans="1:9" ht="15.95" customHeight="1">
      <c r="B1503" s="635" t="s">
        <v>576</v>
      </c>
      <c r="C1503" s="635"/>
      <c r="D1503" s="635"/>
      <c r="E1503" s="635"/>
      <c r="F1503" s="635"/>
      <c r="G1503" s="635"/>
      <c r="H1503" s="635"/>
      <c r="I1503" s="90">
        <f>SUM(I1501:I1502)*0.9103</f>
        <v>10.75</v>
      </c>
    </row>
    <row r="1504" spans="1:9" ht="15.95" customHeight="1">
      <c r="B1504" s="661" t="s">
        <v>69</v>
      </c>
      <c r="C1504" s="662"/>
      <c r="D1504" s="662"/>
      <c r="E1504" s="662"/>
      <c r="F1504" s="662"/>
      <c r="G1504" s="662"/>
      <c r="H1504" s="663"/>
      <c r="I1504" s="92">
        <f>SUM(I1501:I1503)</f>
        <v>22.56</v>
      </c>
    </row>
    <row r="1505" spans="1:9" ht="15.95" customHeight="1">
      <c r="B1505" s="147" t="s">
        <v>76</v>
      </c>
      <c r="C1505" s="148">
        <v>1</v>
      </c>
      <c r="D1505" s="636" t="s">
        <v>77</v>
      </c>
      <c r="E1505" s="637"/>
      <c r="F1505" s="637"/>
      <c r="G1505" s="637"/>
      <c r="H1505" s="638"/>
      <c r="I1505" s="92">
        <f>I1490+I1494+I1498+I1504</f>
        <v>22.56</v>
      </c>
    </row>
    <row r="1506" spans="1:9" ht="15.95" customHeight="1">
      <c r="B1506" s="632"/>
      <c r="C1506" s="633"/>
      <c r="D1506" s="633"/>
      <c r="E1506" s="633"/>
      <c r="F1506" s="633"/>
      <c r="G1506" s="633"/>
      <c r="H1506" s="634"/>
      <c r="I1506" s="92">
        <f>I1505/C1505</f>
        <v>22.56</v>
      </c>
    </row>
    <row r="1507" spans="1:9" ht="15.95" customHeight="1">
      <c r="B1507" s="139" t="s">
        <v>334</v>
      </c>
      <c r="C1507" s="145">
        <f>BDI!C37</f>
        <v>24.5</v>
      </c>
      <c r="D1507" s="146" t="s">
        <v>269</v>
      </c>
      <c r="E1507" s="136"/>
      <c r="F1507" s="136"/>
      <c r="G1507" s="136"/>
      <c r="H1507" s="137"/>
      <c r="I1507" s="90">
        <f>C1507/100*I1506</f>
        <v>5.53</v>
      </c>
    </row>
    <row r="1508" spans="1:9" ht="15.95" customHeight="1" thickBot="1">
      <c r="B1508" s="649" t="s">
        <v>78</v>
      </c>
      <c r="C1508" s="650"/>
      <c r="D1508" s="650"/>
      <c r="E1508" s="650"/>
      <c r="F1508" s="650"/>
      <c r="G1508" s="650"/>
      <c r="H1508" s="651"/>
      <c r="I1508" s="135">
        <f>SUM(I1506:I1507)</f>
        <v>28.09</v>
      </c>
    </row>
    <row r="1509" spans="1:9" ht="30" customHeight="1"/>
    <row r="1513" spans="1:9" ht="13.5" thickBot="1"/>
    <row r="1514" spans="1:9" ht="15.75">
      <c r="B1514" s="200" t="s">
        <v>55</v>
      </c>
      <c r="C1514" s="474" t="str">
        <f>'Planilha Orçamentária'!B82</f>
        <v>5.2</v>
      </c>
      <c r="D1514" s="639" t="s">
        <v>56</v>
      </c>
      <c r="E1514" s="639"/>
      <c r="F1514" s="639"/>
      <c r="G1514" s="639"/>
      <c r="H1514" s="639"/>
      <c r="I1514" s="639"/>
    </row>
    <row r="1515" spans="1:9" ht="30" customHeight="1">
      <c r="B1515" s="640" t="s">
        <v>332</v>
      </c>
      <c r="C1515" s="641"/>
      <c r="D1515" s="641"/>
      <c r="E1515" s="641"/>
      <c r="F1515" s="641"/>
      <c r="G1515" s="642"/>
      <c r="H1515" s="643" t="s">
        <v>700</v>
      </c>
      <c r="I1515" s="644"/>
    </row>
    <row r="1516" spans="1:9" s="127" customFormat="1" ht="30" customHeight="1">
      <c r="B1516" s="645" t="s">
        <v>190</v>
      </c>
      <c r="C1516" s="646"/>
      <c r="D1516" s="646"/>
      <c r="E1516" s="646"/>
      <c r="F1516" s="646"/>
      <c r="G1516" s="647"/>
      <c r="H1516" s="34" t="s">
        <v>57</v>
      </c>
      <c r="I1516" s="126" t="s">
        <v>379</v>
      </c>
    </row>
    <row r="1517" spans="1:9" ht="30" customHeight="1">
      <c r="B1517" s="626" t="s">
        <v>58</v>
      </c>
      <c r="C1517" s="626"/>
      <c r="D1517" s="626"/>
      <c r="E1517" s="626"/>
      <c r="F1517" s="626"/>
      <c r="G1517" s="626"/>
      <c r="H1517" s="626"/>
      <c r="I1517" s="626"/>
    </row>
    <row r="1518" spans="1:9" s="127" customFormat="1" ht="30" customHeight="1">
      <c r="B1518" s="35" t="s">
        <v>59</v>
      </c>
      <c r="C1518" s="172" t="s">
        <v>5</v>
      </c>
      <c r="D1518" s="36" t="s">
        <v>6</v>
      </c>
      <c r="E1518" s="36" t="s">
        <v>61</v>
      </c>
      <c r="F1518" s="36" t="s">
        <v>62</v>
      </c>
      <c r="G1518" s="36" t="s">
        <v>63</v>
      </c>
      <c r="H1518" s="36" t="s">
        <v>64</v>
      </c>
      <c r="I1518" s="37" t="s">
        <v>65</v>
      </c>
    </row>
    <row r="1519" spans="1:9">
      <c r="A1519" s="93"/>
      <c r="B1519" s="97"/>
      <c r="C1519" s="39"/>
      <c r="D1519" s="140"/>
      <c r="E1519" s="40"/>
      <c r="F1519" s="40"/>
      <c r="G1519" s="40"/>
      <c r="H1519" s="40"/>
      <c r="I1519" s="43">
        <f>H1519*D1519</f>
        <v>0</v>
      </c>
    </row>
    <row r="1520" spans="1:9" ht="12.75" customHeight="1">
      <c r="B1520" s="628" t="s">
        <v>69</v>
      </c>
      <c r="C1520" s="628"/>
      <c r="D1520" s="628"/>
      <c r="E1520" s="628"/>
      <c r="F1520" s="628"/>
      <c r="G1520" s="628"/>
      <c r="H1520" s="628"/>
      <c r="I1520" s="95">
        <f>SUM(I1519:I1519)</f>
        <v>0</v>
      </c>
    </row>
    <row r="1521" spans="2:11">
      <c r="B1521" s="626" t="s">
        <v>70</v>
      </c>
      <c r="C1521" s="626"/>
      <c r="D1521" s="626"/>
      <c r="E1521" s="626"/>
      <c r="F1521" s="626"/>
      <c r="G1521" s="626"/>
      <c r="H1521" s="626"/>
      <c r="I1521" s="626"/>
    </row>
    <row r="1522" spans="2:11" s="127" customFormat="1" ht="30" customHeight="1">
      <c r="B1522" s="179" t="s">
        <v>59</v>
      </c>
      <c r="C1522" s="180" t="s">
        <v>5</v>
      </c>
      <c r="D1522" s="47" t="s">
        <v>6</v>
      </c>
      <c r="E1522" s="46"/>
      <c r="F1522" s="46"/>
      <c r="G1522" s="46"/>
      <c r="H1522" s="47" t="s">
        <v>71</v>
      </c>
      <c r="I1522" s="90" t="s">
        <v>65</v>
      </c>
    </row>
    <row r="1523" spans="2:11" s="127" customFormat="1" ht="15.95" customHeight="1">
      <c r="B1523" s="91" t="s">
        <v>168</v>
      </c>
      <c r="C1523" s="47" t="s">
        <v>88</v>
      </c>
      <c r="D1523" s="47">
        <f>0.65*D600</f>
        <v>221</v>
      </c>
      <c r="E1523" s="46"/>
      <c r="F1523" s="46"/>
      <c r="G1523" s="36"/>
      <c r="H1523" s="56">
        <f>INSUMOS!E40</f>
        <v>0.5</v>
      </c>
      <c r="I1523" s="90">
        <f>D1523*H1523</f>
        <v>110.5</v>
      </c>
    </row>
    <row r="1524" spans="2:11" s="127" customFormat="1" ht="15.95" customHeight="1">
      <c r="B1524" s="91" t="s">
        <v>170</v>
      </c>
      <c r="C1524" s="47" t="s">
        <v>32</v>
      </c>
      <c r="D1524" s="181">
        <f>0.65*D601</f>
        <v>0.41099999999999998</v>
      </c>
      <c r="E1524" s="46"/>
      <c r="F1524" s="46"/>
      <c r="G1524" s="36"/>
      <c r="H1524" s="56">
        <f>INSUMOS!E46</f>
        <v>70</v>
      </c>
      <c r="I1524" s="90">
        <f>D1524*H1524</f>
        <v>28.77</v>
      </c>
    </row>
    <row r="1525" spans="2:11" s="127" customFormat="1" ht="15.95" customHeight="1">
      <c r="B1525" s="91" t="s">
        <v>171</v>
      </c>
      <c r="C1525" s="47" t="s">
        <v>32</v>
      </c>
      <c r="D1525" s="47">
        <f>0.65*D602</f>
        <v>0.24</v>
      </c>
      <c r="E1525" s="46"/>
      <c r="F1525" s="46"/>
      <c r="G1525" s="46"/>
      <c r="H1525" s="56">
        <f>INSUMOS!E41</f>
        <v>68.13</v>
      </c>
      <c r="I1525" s="90">
        <f>H1525*D1525</f>
        <v>16.350000000000001</v>
      </c>
    </row>
    <row r="1526" spans="2:11" s="127" customFormat="1" ht="15.95" customHeight="1">
      <c r="B1526" s="91" t="s">
        <v>172</v>
      </c>
      <c r="C1526" s="47" t="s">
        <v>32</v>
      </c>
      <c r="D1526" s="47">
        <f>0.65*D603</f>
        <v>0.24</v>
      </c>
      <c r="E1526" s="46"/>
      <c r="F1526" s="46"/>
      <c r="G1526" s="46"/>
      <c r="H1526" s="56">
        <f>INSUMOS!E42</f>
        <v>65.8</v>
      </c>
      <c r="I1526" s="90">
        <f>H1526*D1526</f>
        <v>15.79</v>
      </c>
    </row>
    <row r="1527" spans="2:11" s="127" customFormat="1" ht="27.75" customHeight="1">
      <c r="B1527" s="177" t="s">
        <v>191</v>
      </c>
      <c r="C1527" s="71" t="s">
        <v>27</v>
      </c>
      <c r="D1527" s="47">
        <v>65</v>
      </c>
      <c r="E1527" s="46"/>
      <c r="F1527" s="46"/>
      <c r="G1527" s="46"/>
      <c r="H1527" s="56">
        <f>INSUMOS!E149</f>
        <v>19.63</v>
      </c>
      <c r="I1527" s="90">
        <f>H1527*D1527</f>
        <v>1275.95</v>
      </c>
    </row>
    <row r="1528" spans="2:11" s="127" customFormat="1">
      <c r="B1528" s="84" t="s">
        <v>559</v>
      </c>
      <c r="C1528" s="145" t="s">
        <v>379</v>
      </c>
      <c r="D1528" s="86">
        <v>1</v>
      </c>
      <c r="E1528" s="50"/>
      <c r="F1528" s="50"/>
      <c r="G1528" s="50"/>
      <c r="H1528" s="56">
        <f>INSUMOS!E70</f>
        <v>295.35000000000002</v>
      </c>
      <c r="I1528" s="87">
        <f>H1528*D1528</f>
        <v>295.35000000000002</v>
      </c>
      <c r="K1528" s="127">
        <v>21011</v>
      </c>
    </row>
    <row r="1529" spans="2:11" ht="57" customHeight="1">
      <c r="B1529" s="122" t="s">
        <v>192</v>
      </c>
      <c r="C1529" s="145" t="s">
        <v>379</v>
      </c>
      <c r="D1529" s="71">
        <v>1</v>
      </c>
      <c r="E1529" s="46"/>
      <c r="F1529" s="46"/>
      <c r="G1529" s="46"/>
      <c r="H1529" s="56">
        <f>INSUMOS!E53</f>
        <v>6360</v>
      </c>
      <c r="I1529" s="90">
        <f>H1529*D1529</f>
        <v>6360</v>
      </c>
    </row>
    <row r="1530" spans="2:11" ht="55.5" customHeight="1">
      <c r="B1530" s="628" t="s">
        <v>69</v>
      </c>
      <c r="C1530" s="628"/>
      <c r="D1530" s="628"/>
      <c r="E1530" s="628"/>
      <c r="F1530" s="628"/>
      <c r="G1530" s="628"/>
      <c r="H1530" s="628"/>
      <c r="I1530" s="90">
        <f>SUM(I1523:I1529)</f>
        <v>8102.71</v>
      </c>
      <c r="K1530" s="33" t="s">
        <v>193</v>
      </c>
    </row>
    <row r="1531" spans="2:11" ht="15.75" customHeight="1">
      <c r="B1531" s="626" t="s">
        <v>72</v>
      </c>
      <c r="C1531" s="626"/>
      <c r="D1531" s="626"/>
      <c r="E1531" s="626"/>
      <c r="F1531" s="626"/>
      <c r="G1531" s="626"/>
      <c r="H1531" s="626"/>
      <c r="I1531" s="626"/>
    </row>
    <row r="1532" spans="2:11" s="127" customFormat="1" ht="30" customHeight="1">
      <c r="B1532" s="45" t="s">
        <v>59</v>
      </c>
      <c r="C1532" s="57" t="s">
        <v>5</v>
      </c>
      <c r="D1532" s="47" t="s">
        <v>6</v>
      </c>
      <c r="E1532" s="46"/>
      <c r="F1532" s="46"/>
      <c r="G1532" s="46"/>
      <c r="H1532" s="47" t="s">
        <v>71</v>
      </c>
      <c r="I1532" s="43" t="s">
        <v>65</v>
      </c>
    </row>
    <row r="1533" spans="2:11">
      <c r="B1533" s="84"/>
      <c r="C1533" s="47"/>
      <c r="D1533" s="47"/>
      <c r="E1533" s="46"/>
      <c r="F1533" s="46"/>
      <c r="G1533" s="46"/>
      <c r="H1533" s="47"/>
      <c r="I1533" s="90">
        <f>D1533*H1533</f>
        <v>0</v>
      </c>
    </row>
    <row r="1534" spans="2:11">
      <c r="B1534" s="628" t="s">
        <v>69</v>
      </c>
      <c r="C1534" s="628"/>
      <c r="D1534" s="628"/>
      <c r="E1534" s="628"/>
      <c r="F1534" s="628"/>
      <c r="G1534" s="628"/>
      <c r="H1534" s="628"/>
      <c r="I1534" s="90">
        <f>SUM(I1533:I1533)</f>
        <v>0</v>
      </c>
    </row>
    <row r="1535" spans="2:11">
      <c r="B1535" s="626" t="s">
        <v>74</v>
      </c>
      <c r="C1535" s="626"/>
      <c r="D1535" s="626"/>
      <c r="E1535" s="626"/>
      <c r="F1535" s="626"/>
      <c r="G1535" s="626"/>
      <c r="H1535" s="626"/>
      <c r="I1535" s="626"/>
    </row>
    <row r="1536" spans="2:11" s="127" customFormat="1" ht="30" customHeight="1">
      <c r="B1536" s="96" t="s">
        <v>59</v>
      </c>
      <c r="C1536" s="78" t="s">
        <v>5</v>
      </c>
      <c r="D1536" s="110" t="s">
        <v>6</v>
      </c>
      <c r="E1536" s="42"/>
      <c r="F1536" s="42"/>
      <c r="G1536" s="42"/>
      <c r="H1536" s="40" t="s">
        <v>71</v>
      </c>
      <c r="I1536" s="43" t="s">
        <v>65</v>
      </c>
    </row>
    <row r="1537" spans="2:9" ht="15.95" customHeight="1">
      <c r="B1537" s="113" t="s">
        <v>194</v>
      </c>
      <c r="C1537" s="71" t="s">
        <v>67</v>
      </c>
      <c r="D1537" s="144">
        <v>7</v>
      </c>
      <c r="E1537" s="46"/>
      <c r="F1537" s="46"/>
      <c r="G1537" s="46"/>
      <c r="H1537" s="56">
        <f>INSUMOS!E29</f>
        <v>3.74</v>
      </c>
      <c r="I1537" s="90">
        <f>H1537*D1537</f>
        <v>26.18</v>
      </c>
    </row>
    <row r="1538" spans="2:9" ht="15.95" customHeight="1">
      <c r="B1538" s="53" t="s">
        <v>75</v>
      </c>
      <c r="C1538" s="71" t="s">
        <v>67</v>
      </c>
      <c r="D1538" s="47">
        <v>10</v>
      </c>
      <c r="E1538" s="46"/>
      <c r="F1538" s="46"/>
      <c r="G1538" s="46"/>
      <c r="H1538" s="56">
        <f>INSUMOS!E14</f>
        <v>3.42</v>
      </c>
      <c r="I1538" s="90">
        <f>H1538*D1538</f>
        <v>34.200000000000003</v>
      </c>
    </row>
    <row r="1539" spans="2:9" ht="15.95" customHeight="1">
      <c r="B1539" s="91" t="s">
        <v>119</v>
      </c>
      <c r="C1539" s="71" t="s">
        <v>67</v>
      </c>
      <c r="D1539" s="47">
        <v>7</v>
      </c>
      <c r="E1539" s="46"/>
      <c r="F1539" s="46"/>
      <c r="G1539" s="46"/>
      <c r="H1539" s="56">
        <f>INSUMOS!E24</f>
        <v>4.55</v>
      </c>
      <c r="I1539" s="90">
        <f>H1539*D1539</f>
        <v>31.85</v>
      </c>
    </row>
    <row r="1540" spans="2:9" ht="15.95" customHeight="1">
      <c r="B1540" s="635" t="s">
        <v>576</v>
      </c>
      <c r="C1540" s="635"/>
      <c r="D1540" s="635"/>
      <c r="E1540" s="635"/>
      <c r="F1540" s="635"/>
      <c r="G1540" s="635"/>
      <c r="H1540" s="635"/>
      <c r="I1540" s="90">
        <f>SUM(I1537:I1539)*0.9103</f>
        <v>83.96</v>
      </c>
    </row>
    <row r="1541" spans="2:9" ht="15.95" customHeight="1">
      <c r="B1541" s="628" t="s">
        <v>69</v>
      </c>
      <c r="C1541" s="628"/>
      <c r="D1541" s="628"/>
      <c r="E1541" s="628"/>
      <c r="F1541" s="628"/>
      <c r="G1541" s="628"/>
      <c r="H1541" s="628"/>
      <c r="I1541" s="95">
        <f>SUM(I1537:I1540)</f>
        <v>176.19</v>
      </c>
    </row>
    <row r="1542" spans="2:9" ht="15.95" customHeight="1">
      <c r="B1542" s="54" t="s">
        <v>76</v>
      </c>
      <c r="C1542" s="47">
        <v>1</v>
      </c>
      <c r="D1542" s="652" t="s">
        <v>77</v>
      </c>
      <c r="E1542" s="652"/>
      <c r="F1542" s="652"/>
      <c r="G1542" s="652"/>
      <c r="H1542" s="652"/>
      <c r="I1542" s="95">
        <f>I1541+I1534+I1530+I1520</f>
        <v>8278.9</v>
      </c>
    </row>
    <row r="1543" spans="2:9" ht="15.95" customHeight="1">
      <c r="B1543" s="632"/>
      <c r="C1543" s="633"/>
      <c r="D1543" s="633"/>
      <c r="E1543" s="633"/>
      <c r="F1543" s="633"/>
      <c r="G1543" s="633"/>
      <c r="H1543" s="634"/>
      <c r="I1543" s="95">
        <f>I1542/C1542</f>
        <v>8278.9</v>
      </c>
    </row>
    <row r="1544" spans="2:9" ht="15.95" customHeight="1">
      <c r="B1544" s="139" t="s">
        <v>334</v>
      </c>
      <c r="C1544" s="145">
        <f>BDI!C37</f>
        <v>24.5</v>
      </c>
      <c r="D1544" s="146" t="s">
        <v>269</v>
      </c>
      <c r="E1544" s="136"/>
      <c r="F1544" s="136"/>
      <c r="G1544" s="136"/>
      <c r="H1544" s="137"/>
      <c r="I1544" s="90">
        <f>C1544/100*I1543</f>
        <v>2028.33</v>
      </c>
    </row>
    <row r="1545" spans="2:9" ht="15.95" customHeight="1" thickBot="1">
      <c r="B1545" s="627" t="s">
        <v>78</v>
      </c>
      <c r="C1545" s="627"/>
      <c r="D1545" s="627"/>
      <c r="E1545" s="627"/>
      <c r="F1545" s="627"/>
      <c r="G1545" s="627"/>
      <c r="H1545" s="627"/>
      <c r="I1545" s="135">
        <f>SUM(I1543:I1544)</f>
        <v>10307.23</v>
      </c>
    </row>
    <row r="1546" spans="2:9" s="127" customFormat="1" ht="30" customHeight="1">
      <c r="B1546" s="33"/>
      <c r="C1546" s="130"/>
      <c r="D1546" s="130"/>
      <c r="E1546" s="33"/>
      <c r="F1546" s="33"/>
      <c r="G1546" s="33"/>
      <c r="H1546" s="33"/>
      <c r="I1546" s="130"/>
    </row>
    <row r="1547" spans="2:9">
      <c r="I1547" s="130">
        <f>'Planilha Orçamentária'!J82/1.225</f>
        <v>0</v>
      </c>
    </row>
    <row r="1551" spans="2:9" ht="13.5" thickBot="1"/>
    <row r="1552" spans="2:9" ht="15.75">
      <c r="B1552" s="200" t="s">
        <v>55</v>
      </c>
      <c r="C1552" s="474" t="str">
        <f>'Planilha Orçamentária'!B95</f>
        <v>6.1</v>
      </c>
      <c r="D1552" s="639" t="s">
        <v>56</v>
      </c>
      <c r="E1552" s="639"/>
      <c r="F1552" s="639"/>
      <c r="G1552" s="639"/>
      <c r="H1552" s="639"/>
      <c r="I1552" s="639"/>
    </row>
    <row r="1553" spans="1:11" ht="30" customHeight="1">
      <c r="B1553" s="640" t="s">
        <v>332</v>
      </c>
      <c r="C1553" s="641"/>
      <c r="D1553" s="641"/>
      <c r="E1553" s="641"/>
      <c r="F1553" s="641"/>
      <c r="G1553" s="642"/>
      <c r="H1553" s="643" t="s">
        <v>700</v>
      </c>
      <c r="I1553" s="644"/>
    </row>
    <row r="1554" spans="1:11" s="127" customFormat="1" ht="30" customHeight="1">
      <c r="B1554" s="625" t="s">
        <v>426</v>
      </c>
      <c r="C1554" s="625"/>
      <c r="D1554" s="625"/>
      <c r="E1554" s="625"/>
      <c r="F1554" s="625"/>
      <c r="G1554" s="625"/>
      <c r="H1554" s="34" t="s">
        <v>57</v>
      </c>
      <c r="I1554" s="126" t="s">
        <v>379</v>
      </c>
    </row>
    <row r="1555" spans="1:11" ht="31.5" customHeight="1">
      <c r="B1555" s="626" t="s">
        <v>58</v>
      </c>
      <c r="C1555" s="626"/>
      <c r="D1555" s="626"/>
      <c r="E1555" s="626"/>
      <c r="F1555" s="626"/>
      <c r="G1555" s="626"/>
      <c r="H1555" s="626"/>
      <c r="I1555" s="626"/>
    </row>
    <row r="1556" spans="1:11" s="127" customFormat="1" ht="30" customHeight="1">
      <c r="B1556" s="35" t="s">
        <v>59</v>
      </c>
      <c r="C1556" s="172" t="s">
        <v>5</v>
      </c>
      <c r="D1556" s="36" t="s">
        <v>6</v>
      </c>
      <c r="E1556" s="36" t="s">
        <v>61</v>
      </c>
      <c r="F1556" s="36" t="s">
        <v>62</v>
      </c>
      <c r="G1556" s="36" t="s">
        <v>63</v>
      </c>
      <c r="H1556" s="36" t="s">
        <v>64</v>
      </c>
      <c r="I1556" s="37" t="s">
        <v>65</v>
      </c>
    </row>
    <row r="1557" spans="1:11" ht="15.75">
      <c r="A1557" s="93"/>
      <c r="B1557" s="38" t="s">
        <v>349</v>
      </c>
      <c r="C1557" s="88" t="s">
        <v>67</v>
      </c>
      <c r="D1557" s="88">
        <v>4</v>
      </c>
      <c r="E1557" s="47">
        <v>1</v>
      </c>
      <c r="F1557" s="47"/>
      <c r="G1557" s="56">
        <f>INSUMOS!E97</f>
        <v>54</v>
      </c>
      <c r="H1557" s="47"/>
      <c r="I1557" s="87">
        <f>D1557*E1557*G1557+D1557*F1557*H1557</f>
        <v>216</v>
      </c>
      <c r="K1557" s="109"/>
    </row>
    <row r="1558" spans="1:11" ht="15.95" customHeight="1">
      <c r="B1558" s="628" t="s">
        <v>69</v>
      </c>
      <c r="C1558" s="628"/>
      <c r="D1558" s="628"/>
      <c r="E1558" s="628"/>
      <c r="F1558" s="628"/>
      <c r="G1558" s="628"/>
      <c r="H1558" s="628"/>
      <c r="I1558" s="95">
        <f>SUM(I1557:I1557)</f>
        <v>216</v>
      </c>
      <c r="K1558" s="51"/>
    </row>
    <row r="1559" spans="1:11" ht="15.95" customHeight="1">
      <c r="B1559" s="626" t="s">
        <v>70</v>
      </c>
      <c r="C1559" s="626"/>
      <c r="D1559" s="626"/>
      <c r="E1559" s="626"/>
      <c r="F1559" s="626"/>
      <c r="G1559" s="626"/>
      <c r="H1559" s="626"/>
      <c r="I1559" s="626"/>
      <c r="K1559" s="51"/>
    </row>
    <row r="1560" spans="1:11" s="127" customFormat="1" ht="30" customHeight="1">
      <c r="B1560" s="179" t="s">
        <v>59</v>
      </c>
      <c r="C1560" s="180" t="s">
        <v>5</v>
      </c>
      <c r="D1560" s="47" t="s">
        <v>6</v>
      </c>
      <c r="E1560" s="46"/>
      <c r="F1560" s="46"/>
      <c r="G1560" s="46"/>
      <c r="H1560" s="47" t="s">
        <v>71</v>
      </c>
      <c r="I1560" s="90" t="s">
        <v>65</v>
      </c>
      <c r="K1560" s="178"/>
    </row>
    <row r="1561" spans="1:11" ht="15.95" customHeight="1">
      <c r="B1561" s="97" t="s">
        <v>177</v>
      </c>
      <c r="C1561" s="88" t="s">
        <v>88</v>
      </c>
      <c r="D1561" s="89">
        <v>111.75</v>
      </c>
      <c r="E1561" s="46"/>
      <c r="F1561" s="46"/>
      <c r="G1561" s="46"/>
      <c r="H1561" s="56">
        <f>INSUMOS!E146</f>
        <v>15.04</v>
      </c>
      <c r="I1561" s="90">
        <f t="shared" ref="I1561:I1567" si="7">H1561*D1561</f>
        <v>1680.72</v>
      </c>
      <c r="K1561" s="51"/>
    </row>
    <row r="1562" spans="1:11" ht="15.95" customHeight="1">
      <c r="B1562" s="97" t="s">
        <v>178</v>
      </c>
      <c r="C1562" s="168" t="s">
        <v>379</v>
      </c>
      <c r="D1562" s="89">
        <v>4</v>
      </c>
      <c r="E1562" s="46"/>
      <c r="F1562" s="46"/>
      <c r="G1562" s="46"/>
      <c r="H1562" s="56">
        <f>INSUMOS!E142</f>
        <v>297.51</v>
      </c>
      <c r="I1562" s="90">
        <f t="shared" si="7"/>
        <v>1190.04</v>
      </c>
      <c r="J1562" s="51"/>
      <c r="K1562" s="51"/>
    </row>
    <row r="1563" spans="1:11" ht="15.95" customHeight="1">
      <c r="B1563" s="97" t="s">
        <v>179</v>
      </c>
      <c r="C1563" s="168" t="s">
        <v>379</v>
      </c>
      <c r="D1563" s="89">
        <v>15</v>
      </c>
      <c r="E1563" s="46"/>
      <c r="F1563" s="46"/>
      <c r="G1563" s="46"/>
      <c r="H1563" s="56">
        <f>INSUMOS!E143</f>
        <v>9.41</v>
      </c>
      <c r="I1563" s="90">
        <f t="shared" si="7"/>
        <v>141.15</v>
      </c>
      <c r="K1563" s="51"/>
    </row>
    <row r="1564" spans="1:11" ht="24.75" customHeight="1">
      <c r="B1564" s="122" t="s">
        <v>327</v>
      </c>
      <c r="C1564" s="168" t="s">
        <v>379</v>
      </c>
      <c r="D1564" s="89">
        <v>5</v>
      </c>
      <c r="E1564" s="46"/>
      <c r="F1564" s="46"/>
      <c r="G1564" s="46"/>
      <c r="H1564" s="56">
        <f>INSUMOS!E144</f>
        <v>7.99</v>
      </c>
      <c r="I1564" s="90">
        <f t="shared" si="7"/>
        <v>39.950000000000003</v>
      </c>
      <c r="K1564" s="51"/>
    </row>
    <row r="1565" spans="1:11" ht="19.5" customHeight="1">
      <c r="B1565" s="97" t="s">
        <v>180</v>
      </c>
      <c r="C1565" s="168" t="s">
        <v>379</v>
      </c>
      <c r="D1565" s="89">
        <v>15</v>
      </c>
      <c r="E1565" s="46"/>
      <c r="F1565" s="46"/>
      <c r="G1565" s="46"/>
      <c r="H1565" s="56">
        <f>INSUMOS!E145</f>
        <v>1.52</v>
      </c>
      <c r="I1565" s="90">
        <f t="shared" si="7"/>
        <v>22.8</v>
      </c>
    </row>
    <row r="1566" spans="1:11" ht="15.95" customHeight="1">
      <c r="B1566" s="97" t="s">
        <v>181</v>
      </c>
      <c r="C1566" s="168" t="s">
        <v>379</v>
      </c>
      <c r="D1566" s="89">
        <v>10</v>
      </c>
      <c r="E1566" s="46"/>
      <c r="F1566" s="46"/>
      <c r="G1566" s="46"/>
      <c r="H1566" s="56">
        <f>INSUMOS!E151</f>
        <v>3.2</v>
      </c>
      <c r="I1566" s="90">
        <f t="shared" si="7"/>
        <v>32</v>
      </c>
    </row>
    <row r="1567" spans="1:11" ht="15.95" customHeight="1">
      <c r="B1567" s="97" t="s">
        <v>182</v>
      </c>
      <c r="C1567" s="168" t="s">
        <v>379</v>
      </c>
      <c r="D1567" s="89">
        <v>10</v>
      </c>
      <c r="E1567" s="46"/>
      <c r="F1567" s="46"/>
      <c r="G1567" s="46"/>
      <c r="H1567" s="56">
        <f>INSUMOS!E152</f>
        <v>2.23</v>
      </c>
      <c r="I1567" s="90">
        <f t="shared" si="7"/>
        <v>22.3</v>
      </c>
    </row>
    <row r="1568" spans="1:11" ht="15.95" customHeight="1">
      <c r="B1568" s="628" t="s">
        <v>69</v>
      </c>
      <c r="C1568" s="628"/>
      <c r="D1568" s="628"/>
      <c r="E1568" s="628"/>
      <c r="F1568" s="628"/>
      <c r="G1568" s="628"/>
      <c r="H1568" s="628"/>
      <c r="I1568" s="90">
        <f>SUM(I1561:I1567)</f>
        <v>3128.96</v>
      </c>
    </row>
    <row r="1569" spans="2:9" ht="15.95" customHeight="1">
      <c r="B1569" s="626" t="s">
        <v>72</v>
      </c>
      <c r="C1569" s="626"/>
      <c r="D1569" s="626"/>
      <c r="E1569" s="626"/>
      <c r="F1569" s="626"/>
      <c r="G1569" s="626"/>
      <c r="H1569" s="626"/>
      <c r="I1569" s="626"/>
    </row>
    <row r="1570" spans="2:9" s="127" customFormat="1" ht="30" customHeight="1">
      <c r="B1570" s="45" t="s">
        <v>59</v>
      </c>
      <c r="C1570" s="57" t="s">
        <v>5</v>
      </c>
      <c r="D1570" s="47" t="s">
        <v>6</v>
      </c>
      <c r="E1570" s="46"/>
      <c r="F1570" s="46"/>
      <c r="G1570" s="46"/>
      <c r="H1570" s="47" t="s">
        <v>71</v>
      </c>
      <c r="I1570" s="43" t="s">
        <v>65</v>
      </c>
    </row>
    <row r="1571" spans="2:9">
      <c r="B1571" s="84"/>
      <c r="C1571" s="47"/>
      <c r="D1571" s="47"/>
      <c r="E1571" s="46"/>
      <c r="F1571" s="46"/>
      <c r="G1571" s="46"/>
      <c r="H1571" s="47"/>
      <c r="I1571" s="90">
        <f>D1571*H1571</f>
        <v>0</v>
      </c>
    </row>
    <row r="1572" spans="2:9">
      <c r="B1572" s="628"/>
      <c r="C1572" s="628"/>
      <c r="D1572" s="628"/>
      <c r="E1572" s="628"/>
      <c r="F1572" s="628"/>
      <c r="G1572" s="628"/>
      <c r="H1572" s="628"/>
      <c r="I1572" s="90">
        <f>SUM(I1571:I1571)</f>
        <v>0</v>
      </c>
    </row>
    <row r="1573" spans="2:9">
      <c r="B1573" s="626" t="s">
        <v>74</v>
      </c>
      <c r="C1573" s="626"/>
      <c r="D1573" s="626"/>
      <c r="E1573" s="626"/>
      <c r="F1573" s="626"/>
      <c r="G1573" s="626"/>
      <c r="H1573" s="626"/>
      <c r="I1573" s="626"/>
    </row>
    <row r="1574" spans="2:9" s="127" customFormat="1" ht="30" customHeight="1">
      <c r="B1574" s="179" t="s">
        <v>59</v>
      </c>
      <c r="C1574" s="180" t="s">
        <v>5</v>
      </c>
      <c r="D1574" s="144" t="s">
        <v>6</v>
      </c>
      <c r="E1574" s="138"/>
      <c r="F1574" s="138"/>
      <c r="G1574" s="138"/>
      <c r="H1574" s="144" t="s">
        <v>71</v>
      </c>
      <c r="I1574" s="210" t="s">
        <v>65</v>
      </c>
    </row>
    <row r="1575" spans="2:9" ht="15.95" customHeight="1">
      <c r="B1575" s="111" t="s">
        <v>602</v>
      </c>
      <c r="C1575" s="71" t="s">
        <v>19</v>
      </c>
      <c r="D1575" s="47">
        <v>0.05</v>
      </c>
      <c r="E1575" s="46"/>
      <c r="F1575" s="46"/>
      <c r="G1575" s="46"/>
      <c r="H1575" s="56">
        <f>INSUMOS!E25</f>
        <v>8447.4699999999993</v>
      </c>
      <c r="I1575" s="90">
        <f t="shared" ref="I1575:I1581" si="8">D1575*H1575</f>
        <v>422.37</v>
      </c>
    </row>
    <row r="1576" spans="2:9" ht="15.95" customHeight="1">
      <c r="B1576" s="111" t="s">
        <v>600</v>
      </c>
      <c r="C1576" s="71" t="s">
        <v>19</v>
      </c>
      <c r="D1576" s="47">
        <v>0.05</v>
      </c>
      <c r="E1576" s="46"/>
      <c r="F1576" s="46"/>
      <c r="G1576" s="46"/>
      <c r="H1576" s="56">
        <f>INSUMOS!E26</f>
        <v>2564.85</v>
      </c>
      <c r="I1576" s="90">
        <f t="shared" si="8"/>
        <v>128.24</v>
      </c>
    </row>
    <row r="1577" spans="2:9" ht="15.95" customHeight="1">
      <c r="B1577" s="111" t="s">
        <v>387</v>
      </c>
      <c r="C1577" s="71" t="s">
        <v>67</v>
      </c>
      <c r="D1577" s="47">
        <v>5</v>
      </c>
      <c r="E1577" s="46"/>
      <c r="F1577" s="46"/>
      <c r="G1577" s="46"/>
      <c r="H1577" s="56">
        <f>INSUMOS!E27</f>
        <v>6.76</v>
      </c>
      <c r="I1577" s="90">
        <f t="shared" si="8"/>
        <v>33.799999999999997</v>
      </c>
    </row>
    <row r="1578" spans="2:9" ht="15.95" customHeight="1">
      <c r="B1578" s="111" t="s">
        <v>425</v>
      </c>
      <c r="C1578" s="71" t="s">
        <v>67</v>
      </c>
      <c r="D1578" s="47">
        <v>22.65</v>
      </c>
      <c r="E1578" s="46"/>
      <c r="F1578" s="46"/>
      <c r="G1578" s="46"/>
      <c r="H1578" s="56">
        <f>INSUMOS!E28</f>
        <v>2.2599999999999998</v>
      </c>
      <c r="I1578" s="90">
        <f t="shared" si="8"/>
        <v>51.19</v>
      </c>
    </row>
    <row r="1579" spans="2:9" ht="15.95" customHeight="1">
      <c r="B1579" s="111" t="s">
        <v>424</v>
      </c>
      <c r="C1579" s="71" t="s">
        <v>67</v>
      </c>
      <c r="D1579" s="47">
        <v>8</v>
      </c>
      <c r="E1579" s="46"/>
      <c r="F1579" s="46"/>
      <c r="G1579" s="46"/>
      <c r="H1579" s="56">
        <f>INSUMOS!E21</f>
        <v>4.55</v>
      </c>
      <c r="I1579" s="90">
        <f t="shared" si="8"/>
        <v>36.4</v>
      </c>
    </row>
    <row r="1580" spans="2:9" ht="15.95" customHeight="1">
      <c r="B1580" s="111" t="s">
        <v>188</v>
      </c>
      <c r="C1580" s="71" t="s">
        <v>67</v>
      </c>
      <c r="D1580" s="47">
        <v>13</v>
      </c>
      <c r="E1580" s="46"/>
      <c r="F1580" s="46"/>
      <c r="G1580" s="46"/>
      <c r="H1580" s="56">
        <f>INSUMOS!E29</f>
        <v>3.74</v>
      </c>
      <c r="I1580" s="90">
        <f t="shared" si="8"/>
        <v>48.62</v>
      </c>
    </row>
    <row r="1581" spans="2:9" ht="15.95" customHeight="1">
      <c r="B1581" s="112" t="s">
        <v>75</v>
      </c>
      <c r="C1581" s="71" t="s">
        <v>67</v>
      </c>
      <c r="D1581" s="47">
        <v>13</v>
      </c>
      <c r="E1581" s="46"/>
      <c r="F1581" s="46"/>
      <c r="G1581" s="46"/>
      <c r="H1581" s="56">
        <f>INSUMOS!E14</f>
        <v>3.42</v>
      </c>
      <c r="I1581" s="90">
        <f t="shared" si="8"/>
        <v>44.46</v>
      </c>
    </row>
    <row r="1582" spans="2:9" ht="15.95" customHeight="1">
      <c r="B1582" s="635" t="s">
        <v>576</v>
      </c>
      <c r="C1582" s="635"/>
      <c r="D1582" s="635"/>
      <c r="E1582" s="635"/>
      <c r="F1582" s="635"/>
      <c r="G1582" s="635"/>
      <c r="H1582" s="635"/>
      <c r="I1582" s="90">
        <f>SUM(I1577:I1581)*0.9103</f>
        <v>195.23</v>
      </c>
    </row>
    <row r="1583" spans="2:9" ht="15.95" customHeight="1">
      <c r="B1583" s="628" t="s">
        <v>69</v>
      </c>
      <c r="C1583" s="628"/>
      <c r="D1583" s="628"/>
      <c r="E1583" s="628"/>
      <c r="F1583" s="628"/>
      <c r="G1583" s="628"/>
      <c r="H1583" s="628"/>
      <c r="I1583" s="95">
        <f>SUM(I1575:I1582)</f>
        <v>960.31</v>
      </c>
    </row>
    <row r="1584" spans="2:9" ht="15.95" customHeight="1">
      <c r="B1584" s="54" t="s">
        <v>76</v>
      </c>
      <c r="C1584" s="47">
        <v>1</v>
      </c>
      <c r="D1584" s="652" t="s">
        <v>77</v>
      </c>
      <c r="E1584" s="652"/>
      <c r="F1584" s="652"/>
      <c r="G1584" s="652"/>
      <c r="H1584" s="652"/>
      <c r="I1584" s="95">
        <f>I1583+I1572+I1568+I1558</f>
        <v>4305.2700000000004</v>
      </c>
    </row>
    <row r="1585" spans="1:9" ht="15.95" customHeight="1">
      <c r="B1585" s="632"/>
      <c r="C1585" s="633"/>
      <c r="D1585" s="633"/>
      <c r="E1585" s="633"/>
      <c r="F1585" s="633"/>
      <c r="G1585" s="633"/>
      <c r="H1585" s="634"/>
      <c r="I1585" s="95">
        <f>I1584/C1584</f>
        <v>4305.2700000000004</v>
      </c>
    </row>
    <row r="1586" spans="1:9" ht="15.95" customHeight="1">
      <c r="B1586" s="139" t="s">
        <v>334</v>
      </c>
      <c r="C1586" s="145">
        <f>BDI!C37</f>
        <v>24.5</v>
      </c>
      <c r="D1586" s="146" t="s">
        <v>269</v>
      </c>
      <c r="E1586" s="136"/>
      <c r="F1586" s="136"/>
      <c r="G1586" s="136"/>
      <c r="H1586" s="137"/>
      <c r="I1586" s="90">
        <f>C1586/100*I1585</f>
        <v>1054.79</v>
      </c>
    </row>
    <row r="1587" spans="1:9" ht="15.95" customHeight="1" thickBot="1">
      <c r="B1587" s="627" t="s">
        <v>78</v>
      </c>
      <c r="C1587" s="627"/>
      <c r="D1587" s="627"/>
      <c r="E1587" s="627"/>
      <c r="F1587" s="627"/>
      <c r="G1587" s="627"/>
      <c r="H1587" s="627"/>
      <c r="I1587" s="135">
        <f>SUM(I1585:I1586)</f>
        <v>5360.06</v>
      </c>
    </row>
    <row r="1588" spans="1:9" s="127" customFormat="1" ht="30" customHeight="1">
      <c r="B1588" s="33"/>
      <c r="C1588" s="130"/>
      <c r="D1588" s="130"/>
      <c r="E1588" s="33"/>
      <c r="F1588" s="33"/>
      <c r="G1588" s="33"/>
      <c r="H1588" s="33"/>
      <c r="I1588" s="130"/>
    </row>
    <row r="1592" spans="1:9" ht="13.5" thickBot="1"/>
    <row r="1593" spans="1:9" ht="15.75">
      <c r="B1593" s="329" t="s">
        <v>55</v>
      </c>
      <c r="C1593" s="474" t="str">
        <f>'Planilha Orçamentária'!B97</f>
        <v>6.3</v>
      </c>
      <c r="D1593" s="743" t="s">
        <v>56</v>
      </c>
      <c r="E1593" s="743"/>
      <c r="F1593" s="743"/>
      <c r="G1593" s="743"/>
      <c r="H1593" s="743"/>
      <c r="I1593" s="744"/>
    </row>
    <row r="1594" spans="1:9" ht="30" customHeight="1">
      <c r="B1594" s="745" t="s">
        <v>332</v>
      </c>
      <c r="C1594" s="746"/>
      <c r="D1594" s="746"/>
      <c r="E1594" s="746"/>
      <c r="F1594" s="746"/>
      <c r="G1594" s="747"/>
      <c r="H1594" s="653" t="s">
        <v>700</v>
      </c>
      <c r="I1594" s="654"/>
    </row>
    <row r="1595" spans="1:9" s="127" customFormat="1" ht="62.25" customHeight="1">
      <c r="B1595" s="708" t="s">
        <v>550</v>
      </c>
      <c r="C1595" s="646"/>
      <c r="D1595" s="646"/>
      <c r="E1595" s="646"/>
      <c r="F1595" s="646"/>
      <c r="G1595" s="647"/>
      <c r="H1595" s="34" t="s">
        <v>57</v>
      </c>
      <c r="I1595" s="126" t="s">
        <v>379</v>
      </c>
    </row>
    <row r="1596" spans="1:9" ht="67.5" customHeight="1">
      <c r="B1596" s="629" t="s">
        <v>58</v>
      </c>
      <c r="C1596" s="626"/>
      <c r="D1596" s="626"/>
      <c r="E1596" s="626"/>
      <c r="F1596" s="626"/>
      <c r="G1596" s="626"/>
      <c r="H1596" s="626"/>
      <c r="I1596" s="630"/>
    </row>
    <row r="1597" spans="1:9" s="127" customFormat="1" ht="30" customHeight="1">
      <c r="B1597" s="212" t="s">
        <v>59</v>
      </c>
      <c r="C1597" s="172" t="s">
        <v>5</v>
      </c>
      <c r="D1597" s="36" t="s">
        <v>6</v>
      </c>
      <c r="E1597" s="36" t="s">
        <v>61</v>
      </c>
      <c r="F1597" s="36" t="s">
        <v>62</v>
      </c>
      <c r="G1597" s="36" t="s">
        <v>63</v>
      </c>
      <c r="H1597" s="36" t="s">
        <v>64</v>
      </c>
      <c r="I1597" s="213" t="s">
        <v>65</v>
      </c>
    </row>
    <row r="1598" spans="1:9">
      <c r="A1598" s="93"/>
      <c r="B1598" s="214"/>
      <c r="C1598" s="39"/>
      <c r="D1598" s="140"/>
      <c r="E1598" s="40"/>
      <c r="F1598" s="40"/>
      <c r="G1598" s="40"/>
      <c r="H1598" s="40"/>
      <c r="I1598" s="215">
        <f>H1598*D1598</f>
        <v>0</v>
      </c>
    </row>
    <row r="1599" spans="1:9" ht="15.95" customHeight="1">
      <c r="B1599" s="741" t="s">
        <v>69</v>
      </c>
      <c r="C1599" s="742"/>
      <c r="D1599" s="742"/>
      <c r="E1599" s="742"/>
      <c r="F1599" s="742"/>
      <c r="G1599" s="742"/>
      <c r="H1599" s="742"/>
      <c r="I1599" s="216">
        <f>SUM(I1598:I1598)</f>
        <v>0</v>
      </c>
    </row>
    <row r="1600" spans="1:9">
      <c r="B1600" s="720" t="s">
        <v>70</v>
      </c>
      <c r="C1600" s="721"/>
      <c r="D1600" s="721"/>
      <c r="E1600" s="721"/>
      <c r="F1600" s="721"/>
      <c r="G1600" s="721"/>
      <c r="H1600" s="721"/>
      <c r="I1600" s="722"/>
    </row>
    <row r="1601" spans="2:10" s="127" customFormat="1" ht="30" customHeight="1">
      <c r="B1601" s="226" t="s">
        <v>59</v>
      </c>
      <c r="C1601" s="165" t="s">
        <v>5</v>
      </c>
      <c r="D1601" s="145" t="s">
        <v>6</v>
      </c>
      <c r="E1601" s="166"/>
      <c r="F1601" s="166"/>
      <c r="G1601" s="166"/>
      <c r="H1601" s="145" t="s">
        <v>71</v>
      </c>
      <c r="I1601" s="219" t="s">
        <v>65</v>
      </c>
    </row>
    <row r="1602" spans="2:10" ht="15.95" customHeight="1">
      <c r="B1602" s="330" t="s">
        <v>129</v>
      </c>
      <c r="C1602" s="168" t="s">
        <v>379</v>
      </c>
      <c r="D1602" s="162">
        <v>1</v>
      </c>
      <c r="E1602" s="164"/>
      <c r="F1602" s="164"/>
      <c r="G1602" s="164"/>
      <c r="H1602" s="167">
        <f>INSUMOS!E126</f>
        <v>60.68</v>
      </c>
      <c r="I1602" s="219">
        <f t="shared" ref="I1602:I1612" si="9">H1602*D1602</f>
        <v>60.68</v>
      </c>
    </row>
    <row r="1603" spans="2:10" ht="15.95" customHeight="1">
      <c r="B1603" s="330" t="s">
        <v>130</v>
      </c>
      <c r="C1603" s="168" t="s">
        <v>379</v>
      </c>
      <c r="D1603" s="162">
        <v>1</v>
      </c>
      <c r="E1603" s="164"/>
      <c r="F1603" s="164"/>
      <c r="G1603" s="164"/>
      <c r="H1603" s="167">
        <f>INSUMOS!E127</f>
        <v>49.65</v>
      </c>
      <c r="I1603" s="219">
        <f t="shared" si="9"/>
        <v>49.65</v>
      </c>
    </row>
    <row r="1604" spans="2:10" ht="15.95" customHeight="1">
      <c r="B1604" s="330" t="s">
        <v>131</v>
      </c>
      <c r="C1604" s="168" t="s">
        <v>379</v>
      </c>
      <c r="D1604" s="162">
        <v>2</v>
      </c>
      <c r="E1604" s="164"/>
      <c r="F1604" s="164"/>
      <c r="G1604" s="164"/>
      <c r="H1604" s="167">
        <f>INSUMOS!E128</f>
        <v>8.6999999999999993</v>
      </c>
      <c r="I1604" s="219">
        <f t="shared" si="9"/>
        <v>17.399999999999999</v>
      </c>
    </row>
    <row r="1605" spans="2:10" ht="15.95" customHeight="1">
      <c r="B1605" s="330" t="s">
        <v>436</v>
      </c>
      <c r="C1605" s="168" t="s">
        <v>379</v>
      </c>
      <c r="D1605" s="162">
        <v>1</v>
      </c>
      <c r="E1605" s="164"/>
      <c r="F1605" s="164"/>
      <c r="G1605" s="164"/>
      <c r="H1605" s="167">
        <f>INSUMOS!E130</f>
        <v>16.899999999999999</v>
      </c>
      <c r="I1605" s="219">
        <f>H1605*D1605</f>
        <v>16.899999999999999</v>
      </c>
    </row>
    <row r="1606" spans="2:10" ht="15.95" customHeight="1">
      <c r="B1606" s="331" t="s">
        <v>437</v>
      </c>
      <c r="C1606" s="168" t="s">
        <v>379</v>
      </c>
      <c r="D1606" s="162">
        <v>8</v>
      </c>
      <c r="E1606" s="164"/>
      <c r="F1606" s="164"/>
      <c r="G1606" s="164"/>
      <c r="H1606" s="167">
        <f>INSUMOS!E129</f>
        <v>13.68</v>
      </c>
      <c r="I1606" s="219">
        <f t="shared" si="9"/>
        <v>109.44</v>
      </c>
    </row>
    <row r="1607" spans="2:10" ht="15.95" customHeight="1">
      <c r="B1607" s="218" t="s">
        <v>133</v>
      </c>
      <c r="C1607" s="145" t="s">
        <v>27</v>
      </c>
      <c r="D1607" s="165">
        <v>20</v>
      </c>
      <c r="E1607" s="166"/>
      <c r="F1607" s="166"/>
      <c r="G1607" s="166"/>
      <c r="H1607" s="167">
        <f>INSUMOS!E48</f>
        <v>1.79</v>
      </c>
      <c r="I1607" s="219">
        <f t="shared" si="9"/>
        <v>35.799999999999997</v>
      </c>
    </row>
    <row r="1608" spans="2:10" ht="15.95" customHeight="1">
      <c r="B1608" s="218" t="s">
        <v>134</v>
      </c>
      <c r="C1608" s="168" t="s">
        <v>379</v>
      </c>
      <c r="D1608" s="165">
        <v>4</v>
      </c>
      <c r="E1608" s="166"/>
      <c r="F1608" s="166"/>
      <c r="G1608" s="166"/>
      <c r="H1608" s="167">
        <f>INSUMOS!E50</f>
        <v>1.8</v>
      </c>
      <c r="I1608" s="219">
        <f t="shared" si="9"/>
        <v>7.2</v>
      </c>
    </row>
    <row r="1609" spans="2:10" ht="15.95" customHeight="1">
      <c r="B1609" s="332" t="s">
        <v>435</v>
      </c>
      <c r="C1609" s="168" t="s">
        <v>379</v>
      </c>
      <c r="D1609" s="169">
        <v>3</v>
      </c>
      <c r="E1609" s="170"/>
      <c r="F1609" s="170"/>
      <c r="G1609" s="170"/>
      <c r="H1609" s="167">
        <f>INSUMOS!E125</f>
        <v>7.47</v>
      </c>
      <c r="I1609" s="220">
        <f t="shared" si="9"/>
        <v>22.41</v>
      </c>
    </row>
    <row r="1610" spans="2:10" ht="15.95" customHeight="1">
      <c r="B1610" s="332" t="s">
        <v>429</v>
      </c>
      <c r="C1610" s="168" t="s">
        <v>379</v>
      </c>
      <c r="D1610" s="169">
        <v>6</v>
      </c>
      <c r="E1610" s="170"/>
      <c r="F1610" s="170"/>
      <c r="G1610" s="170"/>
      <c r="H1610" s="167">
        <f>INSUMOS!E105</f>
        <v>1.88</v>
      </c>
      <c r="I1610" s="220">
        <f>H1610*D1610</f>
        <v>11.28</v>
      </c>
    </row>
    <row r="1611" spans="2:10" ht="15.95" customHeight="1">
      <c r="B1611" s="221" t="s">
        <v>430</v>
      </c>
      <c r="C1611" s="168" t="s">
        <v>379</v>
      </c>
      <c r="D1611" s="165">
        <v>0.08</v>
      </c>
      <c r="E1611" s="166"/>
      <c r="F1611" s="166"/>
      <c r="G1611" s="166"/>
      <c r="H1611" s="167">
        <f>INSUMOS!E51</f>
        <v>1379.34</v>
      </c>
      <c r="I1611" s="220">
        <f>H1611*D1611</f>
        <v>110.35</v>
      </c>
    </row>
    <row r="1612" spans="2:10" ht="15.95" customHeight="1">
      <c r="B1612" s="221" t="s">
        <v>137</v>
      </c>
      <c r="C1612" s="168" t="s">
        <v>379</v>
      </c>
      <c r="D1612" s="165">
        <v>2</v>
      </c>
      <c r="E1612" s="166"/>
      <c r="F1612" s="166"/>
      <c r="G1612" s="166"/>
      <c r="H1612" s="167">
        <f>INSUMOS!E122</f>
        <v>2.4300000000000002</v>
      </c>
      <c r="I1612" s="220">
        <f t="shared" si="9"/>
        <v>4.8600000000000003</v>
      </c>
    </row>
    <row r="1613" spans="2:10" ht="15.95" customHeight="1">
      <c r="B1613" s="222" t="s">
        <v>431</v>
      </c>
      <c r="C1613" s="168" t="s">
        <v>379</v>
      </c>
      <c r="D1613" s="169">
        <v>1</v>
      </c>
      <c r="E1613" s="170"/>
      <c r="F1613" s="170"/>
      <c r="G1613" s="170"/>
      <c r="H1613" s="167">
        <f>INSUMOS!E123</f>
        <v>9.89</v>
      </c>
      <c r="I1613" s="220">
        <f t="shared" ref="I1613:I1619" si="10">H1613*D1613</f>
        <v>9.89</v>
      </c>
    </row>
    <row r="1614" spans="2:10" ht="15.95" customHeight="1">
      <c r="B1614" s="223" t="s">
        <v>482</v>
      </c>
      <c r="C1614" s="168" t="s">
        <v>379</v>
      </c>
      <c r="D1614" s="165">
        <v>1</v>
      </c>
      <c r="E1614" s="166"/>
      <c r="F1614" s="166"/>
      <c r="G1614" s="166"/>
      <c r="H1614" s="167">
        <f>INSUMOS!E55</f>
        <v>4315.66</v>
      </c>
      <c r="I1614" s="220">
        <f t="shared" si="10"/>
        <v>4315.66</v>
      </c>
      <c r="J1614" s="51"/>
    </row>
    <row r="1615" spans="2:10" ht="15.95" customHeight="1">
      <c r="B1615" s="223" t="s">
        <v>326</v>
      </c>
      <c r="C1615" s="168" t="s">
        <v>379</v>
      </c>
      <c r="D1615" s="165">
        <v>1</v>
      </c>
      <c r="E1615" s="166"/>
      <c r="F1615" s="166"/>
      <c r="G1615" s="166"/>
      <c r="H1615" s="167">
        <f>INSUMOS!E139</f>
        <v>57.24</v>
      </c>
      <c r="I1615" s="219">
        <f t="shared" si="10"/>
        <v>57.24</v>
      </c>
      <c r="J1615" s="101"/>
    </row>
    <row r="1616" spans="2:10" ht="26.25" customHeight="1">
      <c r="B1616" s="223" t="s">
        <v>481</v>
      </c>
      <c r="C1616" s="168" t="s">
        <v>379</v>
      </c>
      <c r="D1616" s="165">
        <v>1</v>
      </c>
      <c r="E1616" s="166"/>
      <c r="F1616" s="166"/>
      <c r="G1616" s="166"/>
      <c r="H1616" s="167">
        <f>INSUMOS!E141</f>
        <v>740</v>
      </c>
      <c r="I1616" s="219">
        <f t="shared" si="10"/>
        <v>740</v>
      </c>
      <c r="J1616" s="101"/>
    </row>
    <row r="1617" spans="2:12" ht="27.75" customHeight="1">
      <c r="B1617" s="265" t="s">
        <v>549</v>
      </c>
      <c r="C1617" s="168" t="s">
        <v>27</v>
      </c>
      <c r="D1617" s="169">
        <v>50</v>
      </c>
      <c r="E1617" s="170"/>
      <c r="F1617" s="170"/>
      <c r="G1617" s="170"/>
      <c r="H1617" s="167">
        <f>INSUMOS!E56</f>
        <v>17.73</v>
      </c>
      <c r="I1617" s="220">
        <f t="shared" si="10"/>
        <v>886.5</v>
      </c>
      <c r="J1617" s="101"/>
    </row>
    <row r="1618" spans="2:12" ht="15.75" customHeight="1">
      <c r="B1618" s="224" t="s">
        <v>140</v>
      </c>
      <c r="C1618" s="168" t="s">
        <v>27</v>
      </c>
      <c r="D1618" s="169">
        <v>1</v>
      </c>
      <c r="E1618" s="170"/>
      <c r="F1618" s="170"/>
      <c r="G1618" s="170"/>
      <c r="H1618" s="167">
        <f>INSUMOS!E111</f>
        <v>44.38</v>
      </c>
      <c r="I1618" s="220">
        <f t="shared" si="10"/>
        <v>44.38</v>
      </c>
      <c r="J1618" s="748"/>
      <c r="K1618" s="749"/>
      <c r="L1618" s="749"/>
    </row>
    <row r="1619" spans="2:12" ht="15.95" customHeight="1">
      <c r="B1619" s="225" t="s">
        <v>558</v>
      </c>
      <c r="C1619" s="168" t="s">
        <v>379</v>
      </c>
      <c r="D1619" s="165">
        <v>120</v>
      </c>
      <c r="E1619" s="166"/>
      <c r="F1619" s="166"/>
      <c r="G1619" s="166"/>
      <c r="H1619" s="167">
        <f>INSUMOS!E112</f>
        <v>3.45</v>
      </c>
      <c r="I1619" s="219">
        <f t="shared" si="10"/>
        <v>414</v>
      </c>
      <c r="J1619" s="748"/>
      <c r="K1619" s="749"/>
      <c r="L1619" s="749"/>
    </row>
    <row r="1620" spans="2:12" ht="15.95" customHeight="1">
      <c r="B1620" s="687" t="s">
        <v>69</v>
      </c>
      <c r="C1620" s="688"/>
      <c r="D1620" s="688"/>
      <c r="E1620" s="688"/>
      <c r="F1620" s="688"/>
      <c r="G1620" s="688"/>
      <c r="H1620" s="688"/>
      <c r="I1620" s="219">
        <f>SUM(I1602:I1619)</f>
        <v>6913.64</v>
      </c>
    </row>
    <row r="1621" spans="2:12" ht="15.95" customHeight="1">
      <c r="B1621" s="720" t="s">
        <v>72</v>
      </c>
      <c r="C1621" s="721"/>
      <c r="D1621" s="721"/>
      <c r="E1621" s="721"/>
      <c r="F1621" s="721"/>
      <c r="G1621" s="721"/>
      <c r="H1621" s="721"/>
      <c r="I1621" s="722"/>
    </row>
    <row r="1622" spans="2:12" s="127" customFormat="1" ht="30" customHeight="1">
      <c r="B1622" s="226" t="s">
        <v>59</v>
      </c>
      <c r="C1622" s="165" t="s">
        <v>5</v>
      </c>
      <c r="D1622" s="145" t="s">
        <v>6</v>
      </c>
      <c r="E1622" s="166"/>
      <c r="F1622" s="166"/>
      <c r="G1622" s="166"/>
      <c r="H1622" s="145" t="s">
        <v>71</v>
      </c>
      <c r="I1622" s="219" t="s">
        <v>65</v>
      </c>
    </row>
    <row r="1623" spans="2:12">
      <c r="B1623" s="227"/>
      <c r="C1623" s="145"/>
      <c r="D1623" s="145"/>
      <c r="E1623" s="166"/>
      <c r="F1623" s="166"/>
      <c r="G1623" s="166"/>
      <c r="H1623" s="145"/>
      <c r="I1623" s="219">
        <f>D1623*H1623</f>
        <v>0</v>
      </c>
    </row>
    <row r="1624" spans="2:12">
      <c r="B1624" s="723" t="s">
        <v>69</v>
      </c>
      <c r="C1624" s="665"/>
      <c r="D1624" s="665"/>
      <c r="E1624" s="665"/>
      <c r="F1624" s="665"/>
      <c r="G1624" s="665"/>
      <c r="H1624" s="665"/>
      <c r="I1624" s="228">
        <f>SUM(I1623:I1623)</f>
        <v>0</v>
      </c>
    </row>
    <row r="1625" spans="2:12">
      <c r="B1625" s="629" t="s">
        <v>74</v>
      </c>
      <c r="C1625" s="626"/>
      <c r="D1625" s="626"/>
      <c r="E1625" s="626"/>
      <c r="F1625" s="626"/>
      <c r="G1625" s="626"/>
      <c r="H1625" s="626"/>
      <c r="I1625" s="630"/>
    </row>
    <row r="1626" spans="2:12" s="127" customFormat="1" ht="30" customHeight="1">
      <c r="B1626" s="291" t="s">
        <v>59</v>
      </c>
      <c r="C1626" s="180" t="s">
        <v>5</v>
      </c>
      <c r="D1626" s="144" t="s">
        <v>6</v>
      </c>
      <c r="E1626" s="46"/>
      <c r="F1626" s="46"/>
      <c r="G1626" s="46"/>
      <c r="H1626" s="47" t="s">
        <v>71</v>
      </c>
      <c r="I1626" s="232" t="s">
        <v>65</v>
      </c>
    </row>
    <row r="1627" spans="2:12" ht="15.95" customHeight="1">
      <c r="B1627" s="230" t="s">
        <v>75</v>
      </c>
      <c r="C1627" s="71" t="s">
        <v>67</v>
      </c>
      <c r="D1627" s="47">
        <v>8.5</v>
      </c>
      <c r="E1627" s="46"/>
      <c r="F1627" s="46"/>
      <c r="G1627" s="46"/>
      <c r="H1627" s="56">
        <f>INSUMOS!E14</f>
        <v>3.42</v>
      </c>
      <c r="I1627" s="232">
        <f>H1627*D1627</f>
        <v>29.07</v>
      </c>
    </row>
    <row r="1628" spans="2:12" ht="15.95" customHeight="1">
      <c r="B1628" s="231" t="s">
        <v>141</v>
      </c>
      <c r="C1628" s="71" t="s">
        <v>67</v>
      </c>
      <c r="D1628" s="47">
        <v>2.5</v>
      </c>
      <c r="E1628" s="46"/>
      <c r="F1628" s="46"/>
      <c r="G1628" s="46"/>
      <c r="H1628" s="56">
        <f>INSUMOS!E21</f>
        <v>4.55</v>
      </c>
      <c r="I1628" s="232">
        <f>H1628*D1628</f>
        <v>11.38</v>
      </c>
    </row>
    <row r="1629" spans="2:12" ht="15.95" customHeight="1">
      <c r="B1629" s="231" t="s">
        <v>119</v>
      </c>
      <c r="C1629" s="71" t="s">
        <v>67</v>
      </c>
      <c r="D1629" s="47">
        <v>4</v>
      </c>
      <c r="E1629" s="46"/>
      <c r="F1629" s="46"/>
      <c r="G1629" s="46"/>
      <c r="H1629" s="56">
        <f>INSUMOS!E24</f>
        <v>4.55</v>
      </c>
      <c r="I1629" s="232">
        <f>H1629*D1629</f>
        <v>18.2</v>
      </c>
    </row>
    <row r="1630" spans="2:12" ht="15.95" customHeight="1">
      <c r="B1630" s="635" t="s">
        <v>576</v>
      </c>
      <c r="C1630" s="635"/>
      <c r="D1630" s="635"/>
      <c r="E1630" s="635"/>
      <c r="F1630" s="635"/>
      <c r="G1630" s="635"/>
      <c r="H1630" s="635"/>
      <c r="I1630" s="232">
        <f>SUM(I1627:I1629)*0.9103</f>
        <v>53.39</v>
      </c>
    </row>
    <row r="1631" spans="2:12" ht="15.95" customHeight="1">
      <c r="B1631" s="750" t="s">
        <v>69</v>
      </c>
      <c r="C1631" s="751"/>
      <c r="D1631" s="751"/>
      <c r="E1631" s="751"/>
      <c r="F1631" s="751"/>
      <c r="G1631" s="751"/>
      <c r="H1631" s="751"/>
      <c r="I1631" s="426">
        <f>SUM(I1627:I1630)</f>
        <v>112.04</v>
      </c>
    </row>
    <row r="1632" spans="2:12" ht="15.95" customHeight="1">
      <c r="B1632" s="427" t="s">
        <v>76</v>
      </c>
      <c r="C1632" s="428">
        <v>1</v>
      </c>
      <c r="D1632" s="752" t="s">
        <v>77</v>
      </c>
      <c r="E1632" s="753"/>
      <c r="F1632" s="753"/>
      <c r="G1632" s="753"/>
      <c r="H1632" s="754"/>
      <c r="I1632" s="426">
        <f>I1599+I1620+I1624+I1631</f>
        <v>7025.68</v>
      </c>
    </row>
    <row r="1633" spans="1:11" ht="15.95" customHeight="1">
      <c r="B1633" s="755"/>
      <c r="C1633" s="756"/>
      <c r="D1633" s="756"/>
      <c r="E1633" s="756"/>
      <c r="F1633" s="756"/>
      <c r="G1633" s="756"/>
      <c r="H1633" s="757"/>
      <c r="I1633" s="426">
        <f>I1632/C1632</f>
        <v>7025.68</v>
      </c>
    </row>
    <row r="1634" spans="1:11" ht="15.95" customHeight="1">
      <c r="B1634" s="429" t="s">
        <v>334</v>
      </c>
      <c r="C1634" s="168">
        <f>BDI!C37</f>
        <v>24.5</v>
      </c>
      <c r="D1634" s="430" t="s">
        <v>269</v>
      </c>
      <c r="E1634" s="431"/>
      <c r="F1634" s="431"/>
      <c r="G1634" s="431"/>
      <c r="H1634" s="432"/>
      <c r="I1634" s="278">
        <f>C1634/100*I1633</f>
        <v>1721.29</v>
      </c>
    </row>
    <row r="1635" spans="1:11" ht="15.95" customHeight="1" thickBot="1">
      <c r="B1635" s="671" t="s">
        <v>78</v>
      </c>
      <c r="C1635" s="672"/>
      <c r="D1635" s="672"/>
      <c r="E1635" s="672"/>
      <c r="F1635" s="672"/>
      <c r="G1635" s="672"/>
      <c r="H1635" s="672"/>
      <c r="I1635" s="135">
        <f>SUM(I1633:I1634)</f>
        <v>8746.9699999999993</v>
      </c>
    </row>
    <row r="1636" spans="1:11" s="127" customFormat="1" ht="30" customHeight="1">
      <c r="B1636" s="98"/>
      <c r="C1636" s="416"/>
      <c r="D1636" s="416"/>
      <c r="E1636" s="98"/>
      <c r="F1636" s="98"/>
      <c r="G1636" s="98"/>
      <c r="H1636" s="98"/>
      <c r="I1636" s="416"/>
      <c r="K1636" s="127">
        <f>4427</f>
        <v>4427</v>
      </c>
    </row>
    <row r="1637" spans="1:11">
      <c r="B1637" s="98"/>
      <c r="C1637" s="416">
        <f>BDI!C37</f>
        <v>24.5</v>
      </c>
      <c r="D1637" s="416"/>
      <c r="E1637" s="98"/>
      <c r="F1637" s="98"/>
      <c r="G1637" s="98"/>
      <c r="H1637" s="98"/>
      <c r="I1637" s="416"/>
    </row>
    <row r="1638" spans="1:11">
      <c r="B1638" s="98"/>
      <c r="C1638" s="416"/>
      <c r="D1638" s="416"/>
      <c r="E1638" s="98"/>
      <c r="F1638" s="98"/>
      <c r="G1638" s="98"/>
      <c r="H1638" s="98"/>
      <c r="I1638" s="416"/>
    </row>
    <row r="1639" spans="1:11">
      <c r="B1639" s="98"/>
      <c r="C1639" s="416"/>
      <c r="D1639" s="416"/>
      <c r="E1639" s="98"/>
      <c r="F1639" s="98"/>
      <c r="G1639" s="98"/>
      <c r="H1639" s="98"/>
      <c r="I1639" s="416"/>
    </row>
    <row r="1640" spans="1:11" ht="13.5" thickBot="1"/>
    <row r="1641" spans="1:11" ht="15.75">
      <c r="B1641" s="277" t="s">
        <v>55</v>
      </c>
      <c r="C1641" s="474" t="str">
        <f>'Planilha Orçamentária'!B98</f>
        <v>6.4</v>
      </c>
      <c r="D1641" s="669" t="s">
        <v>56</v>
      </c>
      <c r="E1641" s="669"/>
      <c r="F1641" s="669"/>
      <c r="G1641" s="669"/>
      <c r="H1641" s="669"/>
      <c r="I1641" s="670"/>
    </row>
    <row r="1642" spans="1:11" s="127" customFormat="1" ht="30" customHeight="1">
      <c r="B1642" s="666" t="s">
        <v>383</v>
      </c>
      <c r="C1642" s="656"/>
      <c r="D1642" s="656"/>
      <c r="E1642" s="656"/>
      <c r="F1642" s="656"/>
      <c r="G1642" s="657"/>
      <c r="H1642" s="643" t="s">
        <v>700</v>
      </c>
      <c r="I1642" s="667"/>
    </row>
    <row r="1643" spans="1:11" s="127" customFormat="1" ht="30" customHeight="1">
      <c r="B1643" s="664" t="s">
        <v>384</v>
      </c>
      <c r="C1643" s="625"/>
      <c r="D1643" s="625"/>
      <c r="E1643" s="625"/>
      <c r="F1643" s="625"/>
      <c r="G1643" s="625"/>
      <c r="H1643" s="34" t="s">
        <v>57</v>
      </c>
      <c r="I1643" s="211" t="s">
        <v>27</v>
      </c>
    </row>
    <row r="1644" spans="1:11" s="127" customFormat="1" ht="30" customHeight="1">
      <c r="B1644" s="629" t="s">
        <v>58</v>
      </c>
      <c r="C1644" s="626"/>
      <c r="D1644" s="626"/>
      <c r="E1644" s="626"/>
      <c r="F1644" s="626"/>
      <c r="G1644" s="626"/>
      <c r="H1644" s="626"/>
      <c r="I1644" s="630"/>
    </row>
    <row r="1645" spans="1:11" s="127" customFormat="1" ht="30" customHeight="1">
      <c r="B1645" s="212" t="s">
        <v>59</v>
      </c>
      <c r="C1645" s="172" t="s">
        <v>5</v>
      </c>
      <c r="D1645" s="36" t="s">
        <v>6</v>
      </c>
      <c r="E1645" s="36" t="s">
        <v>61</v>
      </c>
      <c r="F1645" s="36" t="s">
        <v>62</v>
      </c>
      <c r="G1645" s="36" t="s">
        <v>63</v>
      </c>
      <c r="H1645" s="36" t="s">
        <v>64</v>
      </c>
      <c r="I1645" s="213" t="s">
        <v>65</v>
      </c>
    </row>
    <row r="1646" spans="1:11" ht="25.5">
      <c r="A1646" s="93"/>
      <c r="B1646" s="284" t="s">
        <v>385</v>
      </c>
      <c r="C1646" s="285" t="s">
        <v>67</v>
      </c>
      <c r="D1646" s="275">
        <v>1</v>
      </c>
      <c r="E1646" s="276"/>
      <c r="F1646" s="49"/>
      <c r="G1646" s="56">
        <f>INSUMOS!E61</f>
        <v>10.42</v>
      </c>
      <c r="H1646" s="49"/>
      <c r="I1646" s="278">
        <f>D1646*G1646</f>
        <v>10.42</v>
      </c>
    </row>
    <row r="1647" spans="1:11" ht="27" customHeight="1">
      <c r="B1647" s="286" t="s">
        <v>389</v>
      </c>
      <c r="C1647" s="285" t="s">
        <v>67</v>
      </c>
      <c r="D1647" s="275">
        <v>1</v>
      </c>
      <c r="E1647" s="276"/>
      <c r="F1647" s="274"/>
      <c r="G1647" s="237">
        <f>INSUMOS!E62</f>
        <v>1.18</v>
      </c>
      <c r="H1647" s="274"/>
      <c r="I1647" s="278">
        <f>D1647*G1647</f>
        <v>1.18</v>
      </c>
    </row>
    <row r="1648" spans="1:11" ht="27" customHeight="1">
      <c r="B1648" s="631" t="s">
        <v>69</v>
      </c>
      <c r="C1648" s="628"/>
      <c r="D1648" s="628"/>
      <c r="E1648" s="628"/>
      <c r="F1648" s="628"/>
      <c r="G1648" s="628"/>
      <c r="H1648" s="628"/>
      <c r="I1648" s="228">
        <f>SUM(I1646:I1647)</f>
        <v>11.6</v>
      </c>
    </row>
    <row r="1649" spans="2:9" ht="15.95" customHeight="1">
      <c r="B1649" s="629" t="s">
        <v>70</v>
      </c>
      <c r="C1649" s="626"/>
      <c r="D1649" s="626"/>
      <c r="E1649" s="626"/>
      <c r="F1649" s="626"/>
      <c r="G1649" s="626"/>
      <c r="H1649" s="626"/>
      <c r="I1649" s="630"/>
    </row>
    <row r="1650" spans="2:9" s="127" customFormat="1" ht="30" customHeight="1">
      <c r="B1650" s="291" t="s">
        <v>59</v>
      </c>
      <c r="C1650" s="180" t="s">
        <v>5</v>
      </c>
      <c r="D1650" s="47" t="s">
        <v>6</v>
      </c>
      <c r="E1650" s="46"/>
      <c r="F1650" s="46"/>
      <c r="G1650" s="46"/>
      <c r="H1650" s="47" t="s">
        <v>71</v>
      </c>
      <c r="I1650" s="232" t="s">
        <v>65</v>
      </c>
    </row>
    <row r="1651" spans="2:9">
      <c r="B1651" s="279"/>
      <c r="C1651" s="88"/>
      <c r="D1651" s="89"/>
      <c r="E1651" s="46"/>
      <c r="F1651" s="46"/>
      <c r="G1651" s="46"/>
      <c r="H1651" s="47"/>
      <c r="I1651" s="232">
        <f>H1651*D1651</f>
        <v>0</v>
      </c>
    </row>
    <row r="1652" spans="2:9">
      <c r="B1652" s="631" t="s">
        <v>69</v>
      </c>
      <c r="C1652" s="628"/>
      <c r="D1652" s="628"/>
      <c r="E1652" s="628"/>
      <c r="F1652" s="628"/>
      <c r="G1652" s="628"/>
      <c r="H1652" s="628"/>
      <c r="I1652" s="232">
        <f>SUM(I1651:I1651)</f>
        <v>0</v>
      </c>
    </row>
    <row r="1653" spans="2:9">
      <c r="B1653" s="629" t="s">
        <v>72</v>
      </c>
      <c r="C1653" s="626"/>
      <c r="D1653" s="626"/>
      <c r="E1653" s="626"/>
      <c r="F1653" s="626"/>
      <c r="G1653" s="626"/>
      <c r="H1653" s="626"/>
      <c r="I1653" s="630"/>
    </row>
    <row r="1654" spans="2:9" s="127" customFormat="1" ht="30" customHeight="1">
      <c r="B1654" s="280" t="s">
        <v>59</v>
      </c>
      <c r="C1654" s="57" t="s">
        <v>5</v>
      </c>
      <c r="D1654" s="47" t="s">
        <v>6</v>
      </c>
      <c r="E1654" s="46"/>
      <c r="F1654" s="46"/>
      <c r="G1654" s="46"/>
      <c r="H1654" s="47" t="s">
        <v>71</v>
      </c>
      <c r="I1654" s="215" t="s">
        <v>65</v>
      </c>
    </row>
    <row r="1655" spans="2:9">
      <c r="B1655" s="281"/>
      <c r="C1655" s="47"/>
      <c r="D1655" s="47"/>
      <c r="E1655" s="46"/>
      <c r="F1655" s="46"/>
      <c r="G1655" s="46"/>
      <c r="H1655" s="47"/>
      <c r="I1655" s="232">
        <f>D1655*H1655</f>
        <v>0</v>
      </c>
    </row>
    <row r="1656" spans="2:9">
      <c r="B1656" s="631" t="s">
        <v>69</v>
      </c>
      <c r="C1656" s="628"/>
      <c r="D1656" s="628"/>
      <c r="E1656" s="628"/>
      <c r="F1656" s="628"/>
      <c r="G1656" s="628"/>
      <c r="H1656" s="628"/>
      <c r="I1656" s="232">
        <f>SUM(I1655:I1655)</f>
        <v>0</v>
      </c>
    </row>
    <row r="1657" spans="2:9">
      <c r="B1657" s="629" t="s">
        <v>74</v>
      </c>
      <c r="C1657" s="626"/>
      <c r="D1657" s="626"/>
      <c r="E1657" s="626"/>
      <c r="F1657" s="626"/>
      <c r="G1657" s="626"/>
      <c r="H1657" s="626"/>
      <c r="I1657" s="630"/>
    </row>
    <row r="1658" spans="2:9" s="127" customFormat="1" ht="30" customHeight="1">
      <c r="B1658" s="291" t="s">
        <v>59</v>
      </c>
      <c r="C1658" s="180" t="s">
        <v>5</v>
      </c>
      <c r="D1658" s="144" t="s">
        <v>6</v>
      </c>
      <c r="E1658" s="138"/>
      <c r="F1658" s="46"/>
      <c r="G1658" s="46"/>
      <c r="H1658" s="47" t="s">
        <v>71</v>
      </c>
      <c r="I1658" s="232" t="s">
        <v>65</v>
      </c>
    </row>
    <row r="1659" spans="2:9" ht="15.95" customHeight="1">
      <c r="B1659" s="398" t="s">
        <v>386</v>
      </c>
      <c r="C1659" s="399" t="s">
        <v>67</v>
      </c>
      <c r="D1659" s="396">
        <v>1</v>
      </c>
      <c r="E1659" s="288"/>
      <c r="F1659" s="236"/>
      <c r="G1659" s="46"/>
      <c r="H1659" s="56">
        <f>INSUMOS!E30</f>
        <v>3.09</v>
      </c>
      <c r="I1659" s="232">
        <f>H1659*D1659</f>
        <v>3.09</v>
      </c>
    </row>
    <row r="1660" spans="2:9" ht="15.95" customHeight="1">
      <c r="B1660" s="398" t="s">
        <v>387</v>
      </c>
      <c r="C1660" s="399" t="s">
        <v>67</v>
      </c>
      <c r="D1660" s="396">
        <v>1</v>
      </c>
      <c r="E1660" s="288"/>
      <c r="F1660" s="236"/>
      <c r="G1660" s="46"/>
      <c r="H1660" s="56">
        <f>INSUMOS!E27</f>
        <v>6.76</v>
      </c>
      <c r="I1660" s="232">
        <f>H1660*D1660</f>
        <v>6.76</v>
      </c>
    </row>
    <row r="1661" spans="2:9" ht="15.95" customHeight="1">
      <c r="B1661" s="398" t="s">
        <v>388</v>
      </c>
      <c r="C1661" s="399" t="s">
        <v>67</v>
      </c>
      <c r="D1661" s="397">
        <v>2</v>
      </c>
      <c r="E1661" s="289"/>
      <c r="F1661" s="236"/>
      <c r="G1661" s="46"/>
      <c r="H1661" s="56">
        <f>INSUMOS!E28</f>
        <v>2.2599999999999998</v>
      </c>
      <c r="I1661" s="232">
        <f>H1661*D1661</f>
        <v>4.5199999999999996</v>
      </c>
    </row>
    <row r="1662" spans="2:9" ht="15.95" customHeight="1">
      <c r="B1662" s="635" t="s">
        <v>576</v>
      </c>
      <c r="C1662" s="635"/>
      <c r="D1662" s="635"/>
      <c r="E1662" s="635"/>
      <c r="F1662" s="635"/>
      <c r="G1662" s="635"/>
      <c r="H1662" s="635"/>
      <c r="I1662" s="232">
        <f>SUM(I1659:I1661)*0.9103</f>
        <v>13.08</v>
      </c>
    </row>
    <row r="1663" spans="2:9" ht="15.95" customHeight="1">
      <c r="B1663" s="631" t="s">
        <v>69</v>
      </c>
      <c r="C1663" s="628"/>
      <c r="D1663" s="628"/>
      <c r="E1663" s="628"/>
      <c r="F1663" s="628"/>
      <c r="G1663" s="628"/>
      <c r="H1663" s="628"/>
      <c r="I1663" s="228">
        <f>SUM(I1659:I1662)</f>
        <v>27.45</v>
      </c>
    </row>
    <row r="1664" spans="2:9" ht="15.95" customHeight="1">
      <c r="B1664" s="234" t="s">
        <v>76</v>
      </c>
      <c r="C1664" s="148">
        <v>34.6</v>
      </c>
      <c r="D1664" s="636" t="s">
        <v>77</v>
      </c>
      <c r="E1664" s="637"/>
      <c r="F1664" s="637"/>
      <c r="G1664" s="637"/>
      <c r="H1664" s="638"/>
      <c r="I1664" s="228">
        <f>I1648+I1652+I1656+I1663</f>
        <v>39.049999999999997</v>
      </c>
    </row>
    <row r="1665" spans="2:12" ht="15.95" customHeight="1">
      <c r="B1665" s="668"/>
      <c r="C1665" s="633"/>
      <c r="D1665" s="633"/>
      <c r="E1665" s="633"/>
      <c r="F1665" s="633"/>
      <c r="G1665" s="633"/>
      <c r="H1665" s="634"/>
      <c r="I1665" s="228">
        <f>I1664/C1664</f>
        <v>1.1299999999999999</v>
      </c>
    </row>
    <row r="1666" spans="2:12" ht="15.95" customHeight="1">
      <c r="B1666" s="235" t="s">
        <v>334</v>
      </c>
      <c r="C1666" s="145">
        <f>BDI!C37</f>
        <v>24.5</v>
      </c>
      <c r="D1666" s="146" t="s">
        <v>269</v>
      </c>
      <c r="E1666" s="136"/>
      <c r="F1666" s="136"/>
      <c r="G1666" s="136"/>
      <c r="H1666" s="137"/>
      <c r="I1666" s="232">
        <f>C1666/100*I1665</f>
        <v>0.28000000000000003</v>
      </c>
    </row>
    <row r="1667" spans="2:12" ht="15.95" customHeight="1" thickBot="1">
      <c r="B1667" s="671" t="s">
        <v>78</v>
      </c>
      <c r="C1667" s="672"/>
      <c r="D1667" s="672"/>
      <c r="E1667" s="672"/>
      <c r="F1667" s="672"/>
      <c r="G1667" s="672"/>
      <c r="H1667" s="672"/>
      <c r="I1667" s="135">
        <f>SUM(I1665:I1666)</f>
        <v>1.41</v>
      </c>
    </row>
    <row r="1668" spans="2:12" s="127" customFormat="1" ht="30" customHeight="1">
      <c r="B1668" s="33"/>
      <c r="C1668" s="130"/>
      <c r="D1668" s="130"/>
      <c r="E1668" s="33"/>
      <c r="F1668" s="33"/>
      <c r="G1668" s="33"/>
      <c r="H1668" s="33"/>
      <c r="I1668" s="130"/>
    </row>
    <row r="1673" spans="2:12" ht="13.5" thickBot="1">
      <c r="B1673" s="98"/>
      <c r="C1673" s="416"/>
      <c r="D1673" s="416"/>
      <c r="E1673" s="98"/>
      <c r="F1673" s="98"/>
      <c r="G1673" s="98"/>
      <c r="H1673" s="98"/>
      <c r="I1673" s="416"/>
    </row>
    <row r="1674" spans="2:12" ht="15.75">
      <c r="B1674" s="335" t="s">
        <v>55</v>
      </c>
      <c r="C1674" s="474" t="str">
        <f>'Planilha Orçamentária'!B111</f>
        <v>6.17</v>
      </c>
      <c r="D1674" s="758" t="s">
        <v>56</v>
      </c>
      <c r="E1674" s="758"/>
      <c r="F1674" s="758"/>
      <c r="G1674" s="758"/>
      <c r="H1674" s="758"/>
      <c r="I1674" s="759"/>
    </row>
    <row r="1675" spans="2:12" s="334" customFormat="1" ht="30" customHeight="1">
      <c r="B1675" s="696" t="s">
        <v>438</v>
      </c>
      <c r="C1675" s="697"/>
      <c r="D1675" s="697"/>
      <c r="E1675" s="697"/>
      <c r="F1675" s="697"/>
      <c r="G1675" s="698"/>
      <c r="H1675" s="699" t="s">
        <v>547</v>
      </c>
      <c r="I1675" s="700"/>
      <c r="J1675" s="337"/>
    </row>
    <row r="1676" spans="2:12" s="334" customFormat="1" ht="30" customHeight="1">
      <c r="B1676" s="701" t="s">
        <v>552</v>
      </c>
      <c r="C1676" s="702"/>
      <c r="D1676" s="702"/>
      <c r="E1676" s="702"/>
      <c r="F1676" s="702"/>
      <c r="G1676" s="703"/>
      <c r="H1676" s="338" t="s">
        <v>57</v>
      </c>
      <c r="I1676" s="339" t="s">
        <v>379</v>
      </c>
      <c r="J1676" s="337"/>
    </row>
    <row r="1677" spans="2:12" s="334" customFormat="1" ht="30" customHeight="1">
      <c r="B1677" s="713" t="s">
        <v>58</v>
      </c>
      <c r="C1677" s="714"/>
      <c r="D1677" s="714"/>
      <c r="E1677" s="714"/>
      <c r="F1677" s="714"/>
      <c r="G1677" s="714"/>
      <c r="H1677" s="714"/>
      <c r="I1677" s="715"/>
      <c r="J1677" s="740"/>
      <c r="K1677" s="740"/>
    </row>
    <row r="1678" spans="2:12" s="334" customFormat="1" ht="30" customHeight="1">
      <c r="B1678" s="340" t="s">
        <v>59</v>
      </c>
      <c r="C1678" s="36" t="s">
        <v>60</v>
      </c>
      <c r="D1678" s="341" t="s">
        <v>6</v>
      </c>
      <c r="E1678" s="342" t="s">
        <v>61</v>
      </c>
      <c r="F1678" s="342" t="s">
        <v>62</v>
      </c>
      <c r="G1678" s="343" t="s">
        <v>63</v>
      </c>
      <c r="H1678" s="343" t="s">
        <v>64</v>
      </c>
      <c r="I1678" s="344" t="s">
        <v>65</v>
      </c>
      <c r="J1678" s="740"/>
      <c r="K1678" s="740"/>
    </row>
    <row r="1679" spans="2:12" s="334" customFormat="1">
      <c r="B1679" s="346"/>
      <c r="C1679" s="347"/>
      <c r="D1679" s="348"/>
      <c r="E1679" s="349"/>
      <c r="F1679" s="350"/>
      <c r="G1679" s="351"/>
      <c r="H1679" s="352"/>
      <c r="I1679" s="351">
        <f>D1679*G1679</f>
        <v>0</v>
      </c>
      <c r="J1679" s="740"/>
      <c r="K1679" s="740"/>
    </row>
    <row r="1680" spans="2:12" s="345" customFormat="1">
      <c r="B1680" s="718" t="s">
        <v>69</v>
      </c>
      <c r="C1680" s="719"/>
      <c r="D1680" s="719"/>
      <c r="E1680" s="719"/>
      <c r="F1680" s="719"/>
      <c r="G1680" s="719"/>
      <c r="H1680" s="719"/>
      <c r="I1680" s="354">
        <f>SUM(I1679:I1679)</f>
        <v>0</v>
      </c>
      <c r="J1680" s="121"/>
      <c r="L1680" s="353"/>
    </row>
    <row r="1681" spans="2:11" s="345" customFormat="1" ht="15" customHeight="1">
      <c r="B1681" s="713" t="s">
        <v>70</v>
      </c>
      <c r="C1681" s="714"/>
      <c r="D1681" s="714"/>
      <c r="E1681" s="714"/>
      <c r="F1681" s="714"/>
      <c r="G1681" s="714"/>
      <c r="H1681" s="714"/>
      <c r="I1681" s="715"/>
      <c r="J1681" s="121"/>
    </row>
    <row r="1682" spans="2:11" s="334" customFormat="1" ht="30" customHeight="1">
      <c r="B1682" s="356" t="s">
        <v>59</v>
      </c>
      <c r="C1682" s="36" t="s">
        <v>60</v>
      </c>
      <c r="D1682" s="357" t="s">
        <v>6</v>
      </c>
      <c r="E1682" s="358"/>
      <c r="F1682" s="358"/>
      <c r="G1682" s="358"/>
      <c r="H1682" s="347" t="s">
        <v>71</v>
      </c>
      <c r="I1682" s="359" t="s">
        <v>65</v>
      </c>
      <c r="J1682" s="337"/>
      <c r="K1682" s="355"/>
    </row>
    <row r="1683" spans="2:11" s="334" customFormat="1" ht="29.25" customHeight="1">
      <c r="B1683" s="360" t="s">
        <v>447</v>
      </c>
      <c r="C1683" s="347" t="s">
        <v>379</v>
      </c>
      <c r="D1683" s="361">
        <v>3</v>
      </c>
      <c r="E1683" s="362"/>
      <c r="F1683" s="362"/>
      <c r="G1683" s="362"/>
      <c r="H1683" s="363">
        <f>INSUMOS!E111</f>
        <v>44.38</v>
      </c>
      <c r="I1683" s="364">
        <f>D1683*H1683</f>
        <v>133.13999999999999</v>
      </c>
      <c r="J1683" s="337"/>
    </row>
    <row r="1684" spans="2:11" s="334" customFormat="1">
      <c r="B1684" s="366" t="s">
        <v>439</v>
      </c>
      <c r="C1684" s="367" t="s">
        <v>27</v>
      </c>
      <c r="D1684" s="368">
        <v>9</v>
      </c>
      <c r="E1684" s="369"/>
      <c r="F1684" s="369"/>
      <c r="G1684" s="369"/>
      <c r="H1684" s="370">
        <f>INSUMOS!E147</f>
        <v>11.8</v>
      </c>
      <c r="I1684" s="364">
        <f>D1684*H1684</f>
        <v>106.2</v>
      </c>
      <c r="J1684" s="337"/>
      <c r="K1684" s="365"/>
    </row>
    <row r="1685" spans="2:11" s="334" customFormat="1">
      <c r="B1685" s="366" t="s">
        <v>440</v>
      </c>
      <c r="C1685" s="367" t="s">
        <v>27</v>
      </c>
      <c r="D1685" s="368">
        <v>5</v>
      </c>
      <c r="E1685" s="369"/>
      <c r="F1685" s="369"/>
      <c r="G1685" s="369"/>
      <c r="H1685" s="370">
        <f>INSUMOS!E148</f>
        <v>20.16</v>
      </c>
      <c r="I1685" s="364">
        <f>D1685*H1685</f>
        <v>100.8</v>
      </c>
      <c r="J1685" s="337"/>
      <c r="K1685" s="365"/>
    </row>
    <row r="1686" spans="2:11" s="334" customFormat="1">
      <c r="B1686" s="716" t="s">
        <v>69</v>
      </c>
      <c r="C1686" s="717"/>
      <c r="D1686" s="717"/>
      <c r="E1686" s="717"/>
      <c r="F1686" s="717"/>
      <c r="G1686" s="717"/>
      <c r="H1686" s="717"/>
      <c r="I1686" s="364">
        <f>SUM(I1683:I1685)</f>
        <v>340.14</v>
      </c>
      <c r="J1686" s="337"/>
      <c r="K1686" s="365"/>
    </row>
    <row r="1687" spans="2:11" s="334" customFormat="1" ht="14.1" customHeight="1">
      <c r="B1687" s="713" t="s">
        <v>72</v>
      </c>
      <c r="C1687" s="714"/>
      <c r="D1687" s="714"/>
      <c r="E1687" s="714"/>
      <c r="F1687" s="714"/>
      <c r="G1687" s="714"/>
      <c r="H1687" s="714"/>
      <c r="I1687" s="715"/>
      <c r="J1687" s="337"/>
    </row>
    <row r="1688" spans="2:11" s="334" customFormat="1" ht="30" customHeight="1">
      <c r="B1688" s="371" t="s">
        <v>59</v>
      </c>
      <c r="C1688" s="36" t="s">
        <v>60</v>
      </c>
      <c r="D1688" s="347" t="s">
        <v>6</v>
      </c>
      <c r="E1688" s="372"/>
      <c r="F1688" s="372"/>
      <c r="G1688" s="372"/>
      <c r="H1688" s="347" t="s">
        <v>71</v>
      </c>
      <c r="I1688" s="364" t="s">
        <v>65</v>
      </c>
      <c r="J1688" s="337"/>
    </row>
    <row r="1689" spans="2:11" s="334" customFormat="1">
      <c r="B1689" s="373"/>
      <c r="C1689" s="347"/>
      <c r="D1689" s="374"/>
      <c r="E1689" s="372"/>
      <c r="F1689" s="372"/>
      <c r="G1689" s="372"/>
      <c r="H1689" s="351"/>
      <c r="I1689" s="364">
        <f>D1689*H1689</f>
        <v>0</v>
      </c>
      <c r="J1689" s="337"/>
    </row>
    <row r="1690" spans="2:11" s="334" customFormat="1">
      <c r="B1690" s="712" t="s">
        <v>69</v>
      </c>
      <c r="C1690" s="689"/>
      <c r="D1690" s="689"/>
      <c r="E1690" s="689"/>
      <c r="F1690" s="689"/>
      <c r="G1690" s="689"/>
      <c r="H1690" s="689"/>
      <c r="I1690" s="364">
        <f>SUM(I1689:I1689)</f>
        <v>0</v>
      </c>
      <c r="J1690" s="337"/>
    </row>
    <row r="1691" spans="2:11" s="334" customFormat="1" ht="15.75">
      <c r="B1691" s="713" t="s">
        <v>74</v>
      </c>
      <c r="C1691" s="714"/>
      <c r="D1691" s="714"/>
      <c r="E1691" s="714"/>
      <c r="F1691" s="714"/>
      <c r="G1691" s="714"/>
      <c r="H1691" s="714"/>
      <c r="I1691" s="715"/>
      <c r="J1691" s="337"/>
    </row>
    <row r="1692" spans="2:11" s="334" customFormat="1" ht="30" customHeight="1">
      <c r="B1692" s="375" t="s">
        <v>59</v>
      </c>
      <c r="C1692" s="36" t="s">
        <v>60</v>
      </c>
      <c r="D1692" s="376" t="s">
        <v>6</v>
      </c>
      <c r="E1692" s="362"/>
      <c r="F1692" s="362"/>
      <c r="G1692" s="362"/>
      <c r="H1692" s="347" t="s">
        <v>71</v>
      </c>
      <c r="I1692" s="359" t="s">
        <v>65</v>
      </c>
      <c r="J1692" s="337"/>
    </row>
    <row r="1693" spans="2:11" s="334" customFormat="1" ht="14.1" customHeight="1">
      <c r="B1693" s="377" t="s">
        <v>441</v>
      </c>
      <c r="C1693" s="378" t="s">
        <v>67</v>
      </c>
      <c r="D1693" s="379">
        <v>0.4</v>
      </c>
      <c r="E1693" s="362"/>
      <c r="F1693" s="362"/>
      <c r="G1693" s="362"/>
      <c r="H1693" s="363">
        <f>INSUMOS!E21</f>
        <v>4.55</v>
      </c>
      <c r="I1693" s="364">
        <f>D1693*H1693</f>
        <v>1.82</v>
      </c>
      <c r="J1693" s="337"/>
    </row>
    <row r="1694" spans="2:11" s="334" customFormat="1" ht="14.1" customHeight="1">
      <c r="B1694" s="377" t="s">
        <v>446</v>
      </c>
      <c r="C1694" s="378" t="s">
        <v>67</v>
      </c>
      <c r="D1694" s="379">
        <v>0.4</v>
      </c>
      <c r="E1694" s="362"/>
      <c r="F1694" s="362"/>
      <c r="G1694" s="362"/>
      <c r="H1694" s="363">
        <f>INSUMOS!E15</f>
        <v>3.42</v>
      </c>
      <c r="I1694" s="364">
        <f>D1694*H1694</f>
        <v>1.37</v>
      </c>
      <c r="J1694" s="337"/>
    </row>
    <row r="1695" spans="2:11" s="334" customFormat="1" ht="14.1" customHeight="1">
      <c r="B1695" s="635" t="s">
        <v>576</v>
      </c>
      <c r="C1695" s="635"/>
      <c r="D1695" s="635"/>
      <c r="E1695" s="635"/>
      <c r="F1695" s="635"/>
      <c r="G1695" s="635"/>
      <c r="H1695" s="635"/>
      <c r="I1695" s="354">
        <f>SUM(I1693:I1694)*0.9103</f>
        <v>2.9</v>
      </c>
      <c r="J1695" s="337"/>
    </row>
    <row r="1696" spans="2:11" s="334" customFormat="1" ht="14.1" customHeight="1">
      <c r="B1696" s="712" t="s">
        <v>69</v>
      </c>
      <c r="C1696" s="689"/>
      <c r="D1696" s="689"/>
      <c r="E1696" s="689"/>
      <c r="F1696" s="689"/>
      <c r="G1696" s="689"/>
      <c r="H1696" s="689"/>
      <c r="I1696" s="354">
        <f>SUM(I1693:I1695)</f>
        <v>6.09</v>
      </c>
      <c r="J1696" s="337"/>
    </row>
    <row r="1697" spans="2:10" s="334" customFormat="1" ht="14.1" customHeight="1">
      <c r="B1697" s="380" t="s">
        <v>76</v>
      </c>
      <c r="C1697" s="381">
        <v>1</v>
      </c>
      <c r="D1697" s="689" t="s">
        <v>77</v>
      </c>
      <c r="E1697" s="689"/>
      <c r="F1697" s="689"/>
      <c r="G1697" s="689"/>
      <c r="H1697" s="689"/>
      <c r="I1697" s="354">
        <f>I1696+I1690+I1686+I1680</f>
        <v>346.23</v>
      </c>
      <c r="J1697" s="337"/>
    </row>
    <row r="1698" spans="2:10" s="334" customFormat="1" ht="14.1" customHeight="1">
      <c r="B1698" s="690" t="s">
        <v>442</v>
      </c>
      <c r="C1698" s="691"/>
      <c r="D1698" s="692"/>
      <c r="E1698" s="692"/>
      <c r="F1698" s="692"/>
      <c r="G1698" s="692"/>
      <c r="H1698" s="692"/>
      <c r="I1698" s="364">
        <f>I1697/C1697</f>
        <v>346.23</v>
      </c>
      <c r="J1698" s="337"/>
    </row>
    <row r="1699" spans="2:10" s="334" customFormat="1" ht="14.1" customHeight="1">
      <c r="B1699" s="382" t="s">
        <v>443</v>
      </c>
      <c r="C1699" s="383">
        <f>BDI!C37</f>
        <v>24.5</v>
      </c>
      <c r="D1699" s="693" t="s">
        <v>269</v>
      </c>
      <c r="E1699" s="694"/>
      <c r="F1699" s="694"/>
      <c r="G1699" s="694"/>
      <c r="H1699" s="695"/>
      <c r="I1699" s="364">
        <f>I1698/100*C1699</f>
        <v>84.83</v>
      </c>
      <c r="J1699" s="337"/>
    </row>
    <row r="1700" spans="2:10" s="334" customFormat="1" ht="14.1" customHeight="1" thickBot="1">
      <c r="B1700" s="709" t="s">
        <v>78</v>
      </c>
      <c r="C1700" s="710"/>
      <c r="D1700" s="710"/>
      <c r="E1700" s="710"/>
      <c r="F1700" s="710"/>
      <c r="G1700" s="710"/>
      <c r="H1700" s="711"/>
      <c r="I1700" s="135">
        <f>SUM(I1698:I1699)</f>
        <v>431.06</v>
      </c>
      <c r="J1700" s="337"/>
    </row>
    <row r="1701" spans="2:10" s="334" customFormat="1" ht="30" customHeight="1">
      <c r="B1701" s="33"/>
      <c r="C1701" s="130"/>
      <c r="D1701" s="130"/>
      <c r="E1701" s="33"/>
      <c r="F1701" s="33"/>
      <c r="G1701" s="33"/>
      <c r="H1701" s="33"/>
      <c r="I1701" s="130"/>
      <c r="J1701" s="337"/>
    </row>
  </sheetData>
  <mergeCells count="811">
    <mergeCell ref="J1203:K1205"/>
    <mergeCell ref="B1203:I1203"/>
    <mergeCell ref="B1206:H1206"/>
    <mergeCell ref="D487:H487"/>
    <mergeCell ref="B486:H486"/>
    <mergeCell ref="D498:I498"/>
    <mergeCell ref="H499:I499"/>
    <mergeCell ref="B500:G500"/>
    <mergeCell ref="B499:G499"/>
    <mergeCell ref="B552:H552"/>
    <mergeCell ref="D935:H935"/>
    <mergeCell ref="B938:H938"/>
    <mergeCell ref="B951:H951"/>
    <mergeCell ref="B952:I952"/>
    <mergeCell ref="D561:I561"/>
    <mergeCell ref="H562:I562"/>
    <mergeCell ref="B562:G562"/>
    <mergeCell ref="B575:H575"/>
    <mergeCell ref="B512:H512"/>
    <mergeCell ref="H530:I530"/>
    <mergeCell ref="B531:G531"/>
    <mergeCell ref="B532:I532"/>
    <mergeCell ref="B535:H535"/>
    <mergeCell ref="B536:I536"/>
    <mergeCell ref="J1234:K1236"/>
    <mergeCell ref="B1234:I1234"/>
    <mergeCell ref="B1220:H1220"/>
    <mergeCell ref="B1221:H1221"/>
    <mergeCell ref="D1222:H1222"/>
    <mergeCell ref="B1223:H1223"/>
    <mergeCell ref="D1224:H1224"/>
    <mergeCell ref="B1225:H1225"/>
    <mergeCell ref="D1231:I1231"/>
    <mergeCell ref="B1232:G1232"/>
    <mergeCell ref="H1232:I1232"/>
    <mergeCell ref="B1233:G1233"/>
    <mergeCell ref="J1412:K1414"/>
    <mergeCell ref="B1412:I1412"/>
    <mergeCell ref="B1415:H1415"/>
    <mergeCell ref="B1416:I1416"/>
    <mergeCell ref="B1419:H1419"/>
    <mergeCell ref="B1420:I1420"/>
    <mergeCell ref="B1424:I1424"/>
    <mergeCell ref="B1429:H1429"/>
    <mergeCell ref="D1164:I1164"/>
    <mergeCell ref="B1165:G1165"/>
    <mergeCell ref="H1165:I1165"/>
    <mergeCell ref="B1166:G1166"/>
    <mergeCell ref="B1184:H1184"/>
    <mergeCell ref="B1185:I1185"/>
    <mergeCell ref="B1189:H1189"/>
    <mergeCell ref="B1190:H1190"/>
    <mergeCell ref="J1167:K1169"/>
    <mergeCell ref="B1167:I1167"/>
    <mergeCell ref="B1170:H1170"/>
    <mergeCell ref="B1171:I1171"/>
    <mergeCell ref="B1177:H1177"/>
    <mergeCell ref="B1178:I1178"/>
    <mergeCell ref="B1194:H1194"/>
    <mergeCell ref="D1200:I1200"/>
    <mergeCell ref="B1691:I1691"/>
    <mergeCell ref="B1695:H1695"/>
    <mergeCell ref="B1676:G1676"/>
    <mergeCell ref="B1696:H1696"/>
    <mergeCell ref="D1697:H1697"/>
    <mergeCell ref="B1698:H1698"/>
    <mergeCell ref="D1699:H1699"/>
    <mergeCell ref="B1700:H1700"/>
    <mergeCell ref="D1409:I1409"/>
    <mergeCell ref="B1410:G1410"/>
    <mergeCell ref="H1410:I1410"/>
    <mergeCell ref="B1411:G1411"/>
    <mergeCell ref="B1430:H1430"/>
    <mergeCell ref="D1431:H1431"/>
    <mergeCell ref="B1635:H1635"/>
    <mergeCell ref="D1674:I1674"/>
    <mergeCell ref="B1675:G1675"/>
    <mergeCell ref="H1675:I1675"/>
    <mergeCell ref="B1595:G1595"/>
    <mergeCell ref="B1596:I1596"/>
    <mergeCell ref="B1644:I1644"/>
    <mergeCell ref="B1648:H1648"/>
    <mergeCell ref="B1663:H1663"/>
    <mergeCell ref="B1653:I1653"/>
    <mergeCell ref="B1680:H1680"/>
    <mergeCell ref="B1681:I1681"/>
    <mergeCell ref="B1686:H1686"/>
    <mergeCell ref="B1630:H1630"/>
    <mergeCell ref="B1631:H1631"/>
    <mergeCell ref="D1632:H1632"/>
    <mergeCell ref="B1633:H1633"/>
    <mergeCell ref="B1687:I1687"/>
    <mergeCell ref="B1690:H1690"/>
    <mergeCell ref="J1677:K1679"/>
    <mergeCell ref="B1677:I1677"/>
    <mergeCell ref="B1599:H1599"/>
    <mergeCell ref="B1600:I1600"/>
    <mergeCell ref="B1585:H1585"/>
    <mergeCell ref="B1587:H1587"/>
    <mergeCell ref="D1593:I1593"/>
    <mergeCell ref="B1594:G1594"/>
    <mergeCell ref="J1618:L1619"/>
    <mergeCell ref="B1620:H1620"/>
    <mergeCell ref="B1621:I1621"/>
    <mergeCell ref="B1656:H1656"/>
    <mergeCell ref="B1667:H1667"/>
    <mergeCell ref="B1657:I1657"/>
    <mergeCell ref="B1662:H1662"/>
    <mergeCell ref="B1652:H1652"/>
    <mergeCell ref="D1664:H1664"/>
    <mergeCell ref="B1665:H1665"/>
    <mergeCell ref="B1624:H1624"/>
    <mergeCell ref="B1625:I1625"/>
    <mergeCell ref="B1442:G1442"/>
    <mergeCell ref="B1477:H1477"/>
    <mergeCell ref="B1467:H1467"/>
    <mergeCell ref="B1468:I1468"/>
    <mergeCell ref="B1543:H1543"/>
    <mergeCell ref="D1552:I1552"/>
    <mergeCell ref="B1553:G1553"/>
    <mergeCell ref="H1553:I1553"/>
    <mergeCell ref="B1554:G1554"/>
    <mergeCell ref="B1545:H1545"/>
    <mergeCell ref="B1443:I1443"/>
    <mergeCell ref="B1446:H1446"/>
    <mergeCell ref="B1447:I1447"/>
    <mergeCell ref="B1463:H1463"/>
    <mergeCell ref="B1464:I1464"/>
    <mergeCell ref="H1515:I1515"/>
    <mergeCell ref="D1484:I1484"/>
    <mergeCell ref="B1486:G1486"/>
    <mergeCell ref="B1491:I1491"/>
    <mergeCell ref="B1494:H1494"/>
    <mergeCell ref="B1517:I1517"/>
    <mergeCell ref="B1498:H1498"/>
    <mergeCell ref="D1505:H1505"/>
    <mergeCell ref="B1504:H1504"/>
    <mergeCell ref="D89:H89"/>
    <mergeCell ref="B90:H90"/>
    <mergeCell ref="B14:I14"/>
    <mergeCell ref="B17:H17"/>
    <mergeCell ref="B18:I18"/>
    <mergeCell ref="B21:H21"/>
    <mergeCell ref="B22:H22"/>
    <mergeCell ref="D23:H23"/>
    <mergeCell ref="B114:I114"/>
    <mergeCell ref="B56:H56"/>
    <mergeCell ref="B58:H58"/>
    <mergeCell ref="D100:I100"/>
    <mergeCell ref="B102:G102"/>
    <mergeCell ref="B101:G101"/>
    <mergeCell ref="H101:I101"/>
    <mergeCell ref="B78:H78"/>
    <mergeCell ref="B66:G66"/>
    <mergeCell ref="D55:H55"/>
    <mergeCell ref="B26:H26"/>
    <mergeCell ref="D34:I34"/>
    <mergeCell ref="B36:G36"/>
    <mergeCell ref="B37:I37"/>
    <mergeCell ref="B41:H41"/>
    <mergeCell ref="H199:I199"/>
    <mergeCell ref="B200:G200"/>
    <mergeCell ref="B199:G199"/>
    <mergeCell ref="B188:H188"/>
    <mergeCell ref="B137:I137"/>
    <mergeCell ref="B141:H141"/>
    <mergeCell ref="B103:I103"/>
    <mergeCell ref="B67:G67"/>
    <mergeCell ref="B71:H71"/>
    <mergeCell ref="B72:I72"/>
    <mergeCell ref="B92:H92"/>
    <mergeCell ref="B79:I79"/>
    <mergeCell ref="B88:H88"/>
    <mergeCell ref="B118:I118"/>
    <mergeCell ref="B83:I83"/>
    <mergeCell ref="B87:H87"/>
    <mergeCell ref="H135:I135"/>
    <mergeCell ref="B106:H106"/>
    <mergeCell ref="B107:I107"/>
    <mergeCell ref="B113:H113"/>
    <mergeCell ref="B122:H122"/>
    <mergeCell ref="B117:H117"/>
    <mergeCell ref="B142:I142"/>
    <mergeCell ref="B135:G135"/>
    <mergeCell ref="D2:I2"/>
    <mergeCell ref="B4:G4"/>
    <mergeCell ref="B5:I5"/>
    <mergeCell ref="B9:H9"/>
    <mergeCell ref="B10:I10"/>
    <mergeCell ref="B13:H13"/>
    <mergeCell ref="B3:G3"/>
    <mergeCell ref="H3:I3"/>
    <mergeCell ref="B82:H82"/>
    <mergeCell ref="B42:I42"/>
    <mergeCell ref="B45:H45"/>
    <mergeCell ref="B46:I46"/>
    <mergeCell ref="B49:H49"/>
    <mergeCell ref="B50:I50"/>
    <mergeCell ref="B53:H53"/>
    <mergeCell ref="B54:H54"/>
    <mergeCell ref="B24:H24"/>
    <mergeCell ref="B35:G35"/>
    <mergeCell ref="H35:I35"/>
    <mergeCell ref="D65:I65"/>
    <mergeCell ref="H66:I66"/>
    <mergeCell ref="B68:I68"/>
    <mergeCell ref="B159:H159"/>
    <mergeCell ref="B170:I170"/>
    <mergeCell ref="D198:I198"/>
    <mergeCell ref="B185:H185"/>
    <mergeCell ref="B186:H186"/>
    <mergeCell ref="D187:H187"/>
    <mergeCell ref="B190:H190"/>
    <mergeCell ref="B174:I174"/>
    <mergeCell ref="B177:H177"/>
    <mergeCell ref="B178:I178"/>
    <mergeCell ref="B181:H181"/>
    <mergeCell ref="B182:I182"/>
    <mergeCell ref="B136:G136"/>
    <mergeCell ref="B145:H145"/>
    <mergeCell ref="B146:I146"/>
    <mergeCell ref="B214:I214"/>
    <mergeCell ref="B219:H219"/>
    <mergeCell ref="B220:H220"/>
    <mergeCell ref="D221:H221"/>
    <mergeCell ref="B224:H224"/>
    <mergeCell ref="B222:H222"/>
    <mergeCell ref="B201:I201"/>
    <mergeCell ref="B204:H204"/>
    <mergeCell ref="B205:I205"/>
    <mergeCell ref="B209:H209"/>
    <mergeCell ref="B210:I210"/>
    <mergeCell ref="B213:H213"/>
    <mergeCell ref="B155:H155"/>
    <mergeCell ref="B157:H157"/>
    <mergeCell ref="D167:I167"/>
    <mergeCell ref="H168:I168"/>
    <mergeCell ref="B169:G169"/>
    <mergeCell ref="B168:G168"/>
    <mergeCell ref="B150:I150"/>
    <mergeCell ref="B173:H173"/>
    <mergeCell ref="D156:H156"/>
    <mergeCell ref="B245:H245"/>
    <mergeCell ref="B246:I246"/>
    <mergeCell ref="B249:H249"/>
    <mergeCell ref="B250:I250"/>
    <mergeCell ref="B255:H255"/>
    <mergeCell ref="B256:H256"/>
    <mergeCell ref="D232:I232"/>
    <mergeCell ref="H233:I233"/>
    <mergeCell ref="B234:G234"/>
    <mergeCell ref="B235:I235"/>
    <mergeCell ref="B239:H239"/>
    <mergeCell ref="B240:I240"/>
    <mergeCell ref="B233:G233"/>
    <mergeCell ref="B270:I270"/>
    <mergeCell ref="B274:H274"/>
    <mergeCell ref="B275:I275"/>
    <mergeCell ref="B280:H280"/>
    <mergeCell ref="B281:I281"/>
    <mergeCell ref="B284:H284"/>
    <mergeCell ref="D257:H257"/>
    <mergeCell ref="B260:H260"/>
    <mergeCell ref="D267:I267"/>
    <mergeCell ref="H268:I268"/>
    <mergeCell ref="B269:G269"/>
    <mergeCell ref="B268:G268"/>
    <mergeCell ref="B258:H258"/>
    <mergeCell ref="D302:I302"/>
    <mergeCell ref="H303:I303"/>
    <mergeCell ref="B304:G304"/>
    <mergeCell ref="B305:I305"/>
    <mergeCell ref="B308:H308"/>
    <mergeCell ref="B309:I309"/>
    <mergeCell ref="B303:G303"/>
    <mergeCell ref="B285:I285"/>
    <mergeCell ref="B290:H290"/>
    <mergeCell ref="B291:H291"/>
    <mergeCell ref="D292:H292"/>
    <mergeCell ref="B295:H295"/>
    <mergeCell ref="B293:H293"/>
    <mergeCell ref="B315:I315"/>
    <mergeCell ref="B318:H318"/>
    <mergeCell ref="B319:I319"/>
    <mergeCell ref="B323:H323"/>
    <mergeCell ref="B324:H324"/>
    <mergeCell ref="B326:H326"/>
    <mergeCell ref="D335:I335"/>
    <mergeCell ref="H336:I336"/>
    <mergeCell ref="B337:G337"/>
    <mergeCell ref="B336:G336"/>
    <mergeCell ref="D325:H325"/>
    <mergeCell ref="B328:H328"/>
    <mergeCell ref="D430:I430"/>
    <mergeCell ref="H431:I431"/>
    <mergeCell ref="B432:G432"/>
    <mergeCell ref="B431:G431"/>
    <mergeCell ref="B356:H356"/>
    <mergeCell ref="D357:H357"/>
    <mergeCell ref="B360:H360"/>
    <mergeCell ref="B358:H358"/>
    <mergeCell ref="B338:I338"/>
    <mergeCell ref="B341:H341"/>
    <mergeCell ref="B342:I342"/>
    <mergeCell ref="B350:H350"/>
    <mergeCell ref="B351:I351"/>
    <mergeCell ref="B355:H355"/>
    <mergeCell ref="B400:G400"/>
    <mergeCell ref="B369:G369"/>
    <mergeCell ref="B370:I370"/>
    <mergeCell ref="D389:H389"/>
    <mergeCell ref="B390:H390"/>
    <mergeCell ref="B346:H346"/>
    <mergeCell ref="B347:I347"/>
    <mergeCell ref="B378:H378"/>
    <mergeCell ref="D367:I367"/>
    <mergeCell ref="B368:G368"/>
    <mergeCell ref="B485:H485"/>
    <mergeCell ref="D464:I464"/>
    <mergeCell ref="B465:G465"/>
    <mergeCell ref="B433:I433"/>
    <mergeCell ref="B436:H436"/>
    <mergeCell ref="B437:I437"/>
    <mergeCell ref="B442:H442"/>
    <mergeCell ref="B443:I443"/>
    <mergeCell ref="B446:H446"/>
    <mergeCell ref="H465:I465"/>
    <mergeCell ref="B540:H540"/>
    <mergeCell ref="B974:I974"/>
    <mergeCell ref="B554:H554"/>
    <mergeCell ref="B999:I999"/>
    <mergeCell ref="B916:I916"/>
    <mergeCell ref="B919:H919"/>
    <mergeCell ref="B920:I920"/>
    <mergeCell ref="B936:H936"/>
    <mergeCell ref="D996:I996"/>
    <mergeCell ref="H997:I997"/>
    <mergeCell ref="B998:G998"/>
    <mergeCell ref="B977:H977"/>
    <mergeCell ref="B978:I978"/>
    <mergeCell ref="B983:H983"/>
    <mergeCell ref="B984:H984"/>
    <mergeCell ref="B934:H934"/>
    <mergeCell ref="B618:H618"/>
    <mergeCell ref="D619:H619"/>
    <mergeCell ref="B620:H620"/>
    <mergeCell ref="H592:I592"/>
    <mergeCell ref="B594:I594"/>
    <mergeCell ref="B576:I576"/>
    <mergeCell ref="B579:H579"/>
    <mergeCell ref="B580:H580"/>
    <mergeCell ref="D1433:H1433"/>
    <mergeCell ref="B1434:H1434"/>
    <mergeCell ref="B1423:H1423"/>
    <mergeCell ref="D1440:I1440"/>
    <mergeCell ref="B1207:I1207"/>
    <mergeCell ref="B1211:H1211"/>
    <mergeCell ref="B1212:I1212"/>
    <mergeCell ref="B1215:H1215"/>
    <mergeCell ref="B1216:I1216"/>
    <mergeCell ref="B1237:H1237"/>
    <mergeCell ref="B1238:I1238"/>
    <mergeCell ref="B1254:H1254"/>
    <mergeCell ref="B1242:H1242"/>
    <mergeCell ref="B1243:I1243"/>
    <mergeCell ref="D1255:H1255"/>
    <mergeCell ref="B1256:H1256"/>
    <mergeCell ref="B1246:H1246"/>
    <mergeCell ref="B1247:I1247"/>
    <mergeCell ref="B1251:H1251"/>
    <mergeCell ref="B1252:H1252"/>
    <mergeCell ref="D1259:I1259"/>
    <mergeCell ref="H1260:I1260"/>
    <mergeCell ref="B1261:G1261"/>
    <mergeCell ref="B1262:I1262"/>
    <mergeCell ref="D581:H581"/>
    <mergeCell ref="B582:H582"/>
    <mergeCell ref="B598:I598"/>
    <mergeCell ref="D591:I591"/>
    <mergeCell ref="B593:G593"/>
    <mergeCell ref="B1432:H1432"/>
    <mergeCell ref="B929:I929"/>
    <mergeCell ref="B933:H933"/>
    <mergeCell ref="B609:I609"/>
    <mergeCell ref="B947:G947"/>
    <mergeCell ref="B1049:H1049"/>
    <mergeCell ref="B1047:H1047"/>
    <mergeCell ref="B1029:I1029"/>
    <mergeCell ref="B1032:H1032"/>
    <mergeCell ref="B1033:I1033"/>
    <mergeCell ref="B1036:H1036"/>
    <mergeCell ref="B1002:H1002"/>
    <mergeCell ref="B1041:I1041"/>
    <mergeCell ref="B1044:H1044"/>
    <mergeCell ref="B1040:H1040"/>
    <mergeCell ref="D1026:I1026"/>
    <mergeCell ref="H1027:I1027"/>
    <mergeCell ref="B1028:G1028"/>
    <mergeCell ref="B1027:G1027"/>
    <mergeCell ref="D529:I529"/>
    <mergeCell ref="H914:I914"/>
    <mergeCell ref="B924:H924"/>
    <mergeCell ref="B915:G915"/>
    <mergeCell ref="H631:I631"/>
    <mergeCell ref="B622:H622"/>
    <mergeCell ref="B584:H584"/>
    <mergeCell ref="B563:G563"/>
    <mergeCell ref="B564:I564"/>
    <mergeCell ref="B567:H567"/>
    <mergeCell ref="B617:H617"/>
    <mergeCell ref="B544:H544"/>
    <mergeCell ref="B545:I545"/>
    <mergeCell ref="B665:I665"/>
    <mergeCell ref="B613:I613"/>
    <mergeCell ref="B612:H612"/>
    <mergeCell ref="B597:H597"/>
    <mergeCell ref="B592:G592"/>
    <mergeCell ref="B674:I674"/>
    <mergeCell ref="B652:H652"/>
    <mergeCell ref="D653:H653"/>
    <mergeCell ref="B654:H654"/>
    <mergeCell ref="B656:H656"/>
    <mergeCell ref="D662:I662"/>
    <mergeCell ref="B986:H986"/>
    <mergeCell ref="B988:H988"/>
    <mergeCell ref="B1006:H1006"/>
    <mergeCell ref="B1007:I1007"/>
    <mergeCell ref="B1037:I1037"/>
    <mergeCell ref="B1070:I1070"/>
    <mergeCell ref="B1078:H1078"/>
    <mergeCell ref="B1079:H1079"/>
    <mergeCell ref="D1080:H1080"/>
    <mergeCell ref="B1011:I1011"/>
    <mergeCell ref="B1014:H1014"/>
    <mergeCell ref="B1015:H1015"/>
    <mergeCell ref="B1059:G1059"/>
    <mergeCell ref="B1060:I1060"/>
    <mergeCell ref="B1003:I1003"/>
    <mergeCell ref="B1093:G1093"/>
    <mergeCell ref="B1106:I1106"/>
    <mergeCell ref="B1109:H1109"/>
    <mergeCell ref="B1110:I1110"/>
    <mergeCell ref="B1098:I1098"/>
    <mergeCell ref="B1017:H1017"/>
    <mergeCell ref="H1058:I1058"/>
    <mergeCell ref="B1058:G1058"/>
    <mergeCell ref="B1045:H1045"/>
    <mergeCell ref="B1081:H1081"/>
    <mergeCell ref="B1074:I1074"/>
    <mergeCell ref="B1064:I1064"/>
    <mergeCell ref="B1069:H1069"/>
    <mergeCell ref="D1046:H1046"/>
    <mergeCell ref="B1265:H1265"/>
    <mergeCell ref="B1260:G1260"/>
    <mergeCell ref="B1266:I1266"/>
    <mergeCell ref="B1114:H1114"/>
    <mergeCell ref="D1191:H1191"/>
    <mergeCell ref="B1192:H1192"/>
    <mergeCell ref="D1193:H1193"/>
    <mergeCell ref="B1156:H1156"/>
    <mergeCell ref="B1201:G1201"/>
    <mergeCell ref="H1201:I1201"/>
    <mergeCell ref="B1128:G1128"/>
    <mergeCell ref="D1126:I1126"/>
    <mergeCell ref="H1127:I1127"/>
    <mergeCell ref="B1127:G1127"/>
    <mergeCell ref="B1146:H1146"/>
    <mergeCell ref="B1147:I1147"/>
    <mergeCell ref="B1151:H1151"/>
    <mergeCell ref="B1117:H1117"/>
    <mergeCell ref="B1202:G1202"/>
    <mergeCell ref="D1253:H1253"/>
    <mergeCell ref="B1119:H1119"/>
    <mergeCell ref="D1398:H1398"/>
    <mergeCell ref="B1399:H1399"/>
    <mergeCell ref="B1372:H1372"/>
    <mergeCell ref="B1373:I1373"/>
    <mergeCell ref="B1382:H1382"/>
    <mergeCell ref="B1383:I1383"/>
    <mergeCell ref="B1396:H1396"/>
    <mergeCell ref="B1397:H1397"/>
    <mergeCell ref="B1360:H1360"/>
    <mergeCell ref="B1387:I1387"/>
    <mergeCell ref="B1401:H1401"/>
    <mergeCell ref="D1366:I1366"/>
    <mergeCell ref="B1154:H1154"/>
    <mergeCell ref="B1289:H1289"/>
    <mergeCell ref="D1290:H1290"/>
    <mergeCell ref="B1293:H1293"/>
    <mergeCell ref="B1291:H1291"/>
    <mergeCell ref="D1299:I1299"/>
    <mergeCell ref="B1283:H1283"/>
    <mergeCell ref="B1284:I1284"/>
    <mergeCell ref="B1337:G1337"/>
    <mergeCell ref="H1337:I1337"/>
    <mergeCell ref="D1327:H1327"/>
    <mergeCell ref="B1328:H1328"/>
    <mergeCell ref="B1330:H1330"/>
    <mergeCell ref="B1351:H1351"/>
    <mergeCell ref="B1352:I1352"/>
    <mergeCell ref="B1355:H1355"/>
    <mergeCell ref="B1347:H1347"/>
    <mergeCell ref="B1348:I1348"/>
    <mergeCell ref="B1368:G1368"/>
    <mergeCell ref="B1369:I1369"/>
    <mergeCell ref="H1367:I1367"/>
    <mergeCell ref="B1367:G1367"/>
    <mergeCell ref="B409:H409"/>
    <mergeCell ref="B410:I410"/>
    <mergeCell ref="B413:H413"/>
    <mergeCell ref="B414:I414"/>
    <mergeCell ref="B421:H421"/>
    <mergeCell ref="B423:H423"/>
    <mergeCell ref="B517:H517"/>
    <mergeCell ref="B664:G664"/>
    <mergeCell ref="B568:I568"/>
    <mergeCell ref="B571:H571"/>
    <mergeCell ref="B572:I572"/>
    <mergeCell ref="B522:H522"/>
    <mergeCell ref="B447:I447"/>
    <mergeCell ref="B451:H451"/>
    <mergeCell ref="B452:H452"/>
    <mergeCell ref="D453:H453"/>
    <mergeCell ref="B456:H456"/>
    <mergeCell ref="B454:H454"/>
    <mergeCell ref="B501:I501"/>
    <mergeCell ref="B504:H504"/>
    <mergeCell ref="B505:I505"/>
    <mergeCell ref="B508:H508"/>
    <mergeCell ref="B509:I509"/>
    <mergeCell ref="B608:H608"/>
    <mergeCell ref="D945:I945"/>
    <mergeCell ref="H946:I946"/>
    <mergeCell ref="B946:G946"/>
    <mergeCell ref="B997:G997"/>
    <mergeCell ref="B948:I948"/>
    <mergeCell ref="B973:H973"/>
    <mergeCell ref="B1019:H1019"/>
    <mergeCell ref="B518:H518"/>
    <mergeCell ref="D519:H519"/>
    <mergeCell ref="B520:H520"/>
    <mergeCell ref="B541:I541"/>
    <mergeCell ref="B636:H636"/>
    <mergeCell ref="B633:I633"/>
    <mergeCell ref="B632:G632"/>
    <mergeCell ref="B530:G530"/>
    <mergeCell ref="D551:H551"/>
    <mergeCell ref="B549:H549"/>
    <mergeCell ref="B550:H550"/>
    <mergeCell ref="B1010:H1010"/>
    <mergeCell ref="D985:H985"/>
    <mergeCell ref="B670:I670"/>
    <mergeCell ref="B673:H673"/>
    <mergeCell ref="B669:H669"/>
    <mergeCell ref="D630:I630"/>
    <mergeCell ref="B314:H314"/>
    <mergeCell ref="B149:H149"/>
    <mergeCell ref="B123:H123"/>
    <mergeCell ref="D124:H124"/>
    <mergeCell ref="D134:I134"/>
    <mergeCell ref="B125:H125"/>
    <mergeCell ref="B127:H127"/>
    <mergeCell ref="B154:H154"/>
    <mergeCell ref="B925:I925"/>
    <mergeCell ref="D913:I913"/>
    <mergeCell ref="B914:G914"/>
    <mergeCell ref="B418:H418"/>
    <mergeCell ref="B419:H419"/>
    <mergeCell ref="B513:I513"/>
    <mergeCell ref="B466:G466"/>
    <mergeCell ref="B467:I467"/>
    <mergeCell ref="B470:H470"/>
    <mergeCell ref="B471:I471"/>
    <mergeCell ref="B476:H476"/>
    <mergeCell ref="B488:H488"/>
    <mergeCell ref="B490:H490"/>
    <mergeCell ref="B477:I477"/>
    <mergeCell ref="B480:H480"/>
    <mergeCell ref="B481:I481"/>
    <mergeCell ref="B373:H373"/>
    <mergeCell ref="B374:I374"/>
    <mergeCell ref="H368:I368"/>
    <mergeCell ref="D398:I398"/>
    <mergeCell ref="B399:G399"/>
    <mergeCell ref="H399:I399"/>
    <mergeCell ref="B379:I379"/>
    <mergeCell ref="B382:H382"/>
    <mergeCell ref="B383:I383"/>
    <mergeCell ref="B387:H387"/>
    <mergeCell ref="B388:H388"/>
    <mergeCell ref="B631:G631"/>
    <mergeCell ref="B641:H641"/>
    <mergeCell ref="B642:I642"/>
    <mergeCell ref="B645:H645"/>
    <mergeCell ref="B646:I646"/>
    <mergeCell ref="B651:H651"/>
    <mergeCell ref="B663:G663"/>
    <mergeCell ref="H663:I663"/>
    <mergeCell ref="B637:I637"/>
    <mergeCell ref="B677:H677"/>
    <mergeCell ref="B1649:I1649"/>
    <mergeCell ref="D1641:I1641"/>
    <mergeCell ref="B1642:G1642"/>
    <mergeCell ref="H1642:I1642"/>
    <mergeCell ref="B1643:G1643"/>
    <mergeCell ref="B1472:H1472"/>
    <mergeCell ref="B1473:H1473"/>
    <mergeCell ref="D1474:H1474"/>
    <mergeCell ref="B1475:H1475"/>
    <mergeCell ref="B1534:H1534"/>
    <mergeCell ref="B1535:I1535"/>
    <mergeCell ref="B1520:H1520"/>
    <mergeCell ref="B1541:H1541"/>
    <mergeCell ref="B1530:H1530"/>
    <mergeCell ref="B1531:I1531"/>
    <mergeCell ref="B1516:G1516"/>
    <mergeCell ref="B695:G695"/>
    <mergeCell ref="H695:I695"/>
    <mergeCell ref="B696:G696"/>
    <mergeCell ref="B697:I697"/>
    <mergeCell ref="B701:H701"/>
    <mergeCell ref="B928:H928"/>
    <mergeCell ref="B1073:H1073"/>
    <mergeCell ref="B702:I702"/>
    <mergeCell ref="D694:I694"/>
    <mergeCell ref="B688:H688"/>
    <mergeCell ref="B678:I678"/>
    <mergeCell ref="B683:H683"/>
    <mergeCell ref="B684:H684"/>
    <mergeCell ref="D685:H685"/>
    <mergeCell ref="B686:H686"/>
    <mergeCell ref="D717:H717"/>
    <mergeCell ref="B705:H705"/>
    <mergeCell ref="B706:I706"/>
    <mergeCell ref="B718:H718"/>
    <mergeCell ref="B720:H720"/>
    <mergeCell ref="D727:I727"/>
    <mergeCell ref="B728:G728"/>
    <mergeCell ref="H728:I728"/>
    <mergeCell ref="B709:H709"/>
    <mergeCell ref="B710:I710"/>
    <mergeCell ref="B715:H715"/>
    <mergeCell ref="B716:H716"/>
    <mergeCell ref="D1336:I1336"/>
    <mergeCell ref="B749:H749"/>
    <mergeCell ref="D750:H750"/>
    <mergeCell ref="B751:H751"/>
    <mergeCell ref="B729:G729"/>
    <mergeCell ref="B730:I730"/>
    <mergeCell ref="B733:H733"/>
    <mergeCell ref="B734:I734"/>
    <mergeCell ref="B739:H739"/>
    <mergeCell ref="B740:I740"/>
    <mergeCell ref="B743:H743"/>
    <mergeCell ref="B744:I744"/>
    <mergeCell ref="B748:H748"/>
    <mergeCell ref="B1063:H1063"/>
    <mergeCell ref="D1057:I1057"/>
    <mergeCell ref="B1115:H1115"/>
    <mergeCell ref="D1116:H1116"/>
    <mergeCell ref="B1105:H1105"/>
    <mergeCell ref="B1094:I1094"/>
    <mergeCell ref="B1097:H1097"/>
    <mergeCell ref="B1092:G1092"/>
    <mergeCell ref="B1083:H1083"/>
    <mergeCell ref="D1091:I1091"/>
    <mergeCell ref="H1092:I1092"/>
    <mergeCell ref="B1569:I1569"/>
    <mergeCell ref="H1441:I1441"/>
    <mergeCell ref="B1441:G1441"/>
    <mergeCell ref="B827:H827"/>
    <mergeCell ref="B828:I828"/>
    <mergeCell ref="B831:H831"/>
    <mergeCell ref="B832:I832"/>
    <mergeCell ref="B1338:G1338"/>
    <mergeCell ref="B1306:I1306"/>
    <mergeCell ref="B1312:H1312"/>
    <mergeCell ref="B854:G854"/>
    <mergeCell ref="B893:H893"/>
    <mergeCell ref="B1320:H1320"/>
    <mergeCell ref="B1321:I1321"/>
    <mergeCell ref="B1325:H1325"/>
    <mergeCell ref="B1132:H1132"/>
    <mergeCell ref="B1133:I1133"/>
    <mergeCell ref="B1300:G1300"/>
    <mergeCell ref="H1300:I1300"/>
    <mergeCell ref="B1301:G1301"/>
    <mergeCell ref="B1386:H1386"/>
    <mergeCell ref="B1356:H1356"/>
    <mergeCell ref="D1357:H1357"/>
    <mergeCell ref="B1358:H1358"/>
    <mergeCell ref="B1572:H1572"/>
    <mergeCell ref="B1573:I1573"/>
    <mergeCell ref="B1582:H1582"/>
    <mergeCell ref="B1583:H1583"/>
    <mergeCell ref="D1584:H1584"/>
    <mergeCell ref="H1594:I1594"/>
    <mergeCell ref="B1485:G1485"/>
    <mergeCell ref="H1485:I1485"/>
    <mergeCell ref="D1542:H1542"/>
    <mergeCell ref="B1508:H1508"/>
    <mergeCell ref="B1506:H1506"/>
    <mergeCell ref="D1514:I1514"/>
    <mergeCell ref="B1540:H1540"/>
    <mergeCell ref="B1515:G1515"/>
    <mergeCell ref="B1521:I1521"/>
    <mergeCell ref="B1495:I1495"/>
    <mergeCell ref="B1487:I1487"/>
    <mergeCell ref="B1490:H1490"/>
    <mergeCell ref="B1503:H1503"/>
    <mergeCell ref="B1499:I1499"/>
    <mergeCell ref="B1555:I1555"/>
    <mergeCell ref="B1558:H1558"/>
    <mergeCell ref="B1559:I1559"/>
    <mergeCell ref="B1568:H1568"/>
    <mergeCell ref="B766:I766"/>
    <mergeCell ref="B771:H771"/>
    <mergeCell ref="B772:I772"/>
    <mergeCell ref="B867:H867"/>
    <mergeCell ref="B886:I886"/>
    <mergeCell ref="B855:I855"/>
    <mergeCell ref="B797:H797"/>
    <mergeCell ref="B798:I798"/>
    <mergeCell ref="D812:H812"/>
    <mergeCell ref="H822:I822"/>
    <mergeCell ref="B845:H845"/>
    <mergeCell ref="B868:I868"/>
    <mergeCell ref="D842:H842"/>
    <mergeCell ref="B843:H843"/>
    <mergeCell ref="B885:G885"/>
    <mergeCell ref="B780:H780"/>
    <mergeCell ref="B781:H781"/>
    <mergeCell ref="D782:H782"/>
    <mergeCell ref="B783:H783"/>
    <mergeCell ref="B785:H785"/>
    <mergeCell ref="D791:I791"/>
    <mergeCell ref="B815:H815"/>
    <mergeCell ref="D821:I821"/>
    <mergeCell ref="B822:G822"/>
    <mergeCell ref="B840:H840"/>
    <mergeCell ref="B841:H841"/>
    <mergeCell ref="B401:I401"/>
    <mergeCell ref="B404:H404"/>
    <mergeCell ref="B405:I405"/>
    <mergeCell ref="B824:I824"/>
    <mergeCell ref="D759:I759"/>
    <mergeCell ref="B760:G760"/>
    <mergeCell ref="H760:I760"/>
    <mergeCell ref="B801:H801"/>
    <mergeCell ref="B802:I802"/>
    <mergeCell ref="B805:H805"/>
    <mergeCell ref="B806:I806"/>
    <mergeCell ref="B810:H810"/>
    <mergeCell ref="B835:H835"/>
    <mergeCell ref="B836:I836"/>
    <mergeCell ref="D420:H420"/>
    <mergeCell ref="B823:G823"/>
    <mergeCell ref="B761:G761"/>
    <mergeCell ref="B762:I762"/>
    <mergeCell ref="B765:H765"/>
    <mergeCell ref="B811:H811"/>
    <mergeCell ref="B792:G792"/>
    <mergeCell ref="H792:I792"/>
    <mergeCell ref="B902:H902"/>
    <mergeCell ref="D852:I852"/>
    <mergeCell ref="B1313:I1313"/>
    <mergeCell ref="B884:G884"/>
    <mergeCell ref="B858:H858"/>
    <mergeCell ref="B859:I859"/>
    <mergeCell ref="B863:H863"/>
    <mergeCell ref="B864:I864"/>
    <mergeCell ref="H884:I884"/>
    <mergeCell ref="B894:I894"/>
    <mergeCell ref="B1302:I1302"/>
    <mergeCell ref="B1305:H1305"/>
    <mergeCell ref="D903:H903"/>
    <mergeCell ref="B1152:H1152"/>
    <mergeCell ref="B1143:I1143"/>
    <mergeCell ref="B1280:I1280"/>
    <mergeCell ref="D1153:H1153"/>
    <mergeCell ref="B1142:H1142"/>
    <mergeCell ref="B1129:I1129"/>
    <mergeCell ref="B1288:H1288"/>
    <mergeCell ref="D1016:H1016"/>
    <mergeCell ref="B904:H904"/>
    <mergeCell ref="B906:H906"/>
    <mergeCell ref="B1279:H1279"/>
    <mergeCell ref="B793:G793"/>
    <mergeCell ref="B794:I794"/>
    <mergeCell ref="B392:H392"/>
    <mergeCell ref="B775:H775"/>
    <mergeCell ref="B776:I776"/>
    <mergeCell ref="B753:H753"/>
    <mergeCell ref="B1339:I1339"/>
    <mergeCell ref="B1342:H1342"/>
    <mergeCell ref="B1343:I1343"/>
    <mergeCell ref="B889:H889"/>
    <mergeCell ref="B813:H813"/>
    <mergeCell ref="B890:I890"/>
    <mergeCell ref="B872:H872"/>
    <mergeCell ref="B873:H873"/>
    <mergeCell ref="D874:H874"/>
    <mergeCell ref="B875:H875"/>
    <mergeCell ref="B877:H877"/>
    <mergeCell ref="D883:I883"/>
    <mergeCell ref="B853:G853"/>
    <mergeCell ref="H853:I853"/>
    <mergeCell ref="B1326:H1326"/>
    <mergeCell ref="B897:H897"/>
    <mergeCell ref="B898:I898"/>
    <mergeCell ref="B901:H901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47" firstPageNumber="0" orientation="portrait" horizontalDpi="300" verticalDpi="300" r:id="rId1"/>
  <headerFooter alignWithMargins="0"/>
  <rowBreaks count="25" manualBreakCount="25">
    <brk id="63" min="1" max="8" man="1"/>
    <brk id="132" min="1" max="8" man="1"/>
    <brk id="165" max="16383" man="1"/>
    <brk id="230" min="1" max="8" man="1"/>
    <brk id="300" min="1" max="8" man="1"/>
    <brk id="365" min="1" max="8" man="1"/>
    <brk id="428" min="1" max="8" man="1"/>
    <brk id="496" min="1" max="8" man="1"/>
    <brk id="559" min="1" max="8" man="1"/>
    <brk id="628" min="1" max="8" man="1"/>
    <brk id="692" min="1" max="8" man="1"/>
    <brk id="757" min="1" max="8" man="1"/>
    <brk id="819" min="1" max="8" man="1"/>
    <brk id="881" min="1" max="8" man="1"/>
    <brk id="943" min="1" max="8" man="1"/>
    <brk id="1024" min="1" max="8" man="1"/>
    <brk id="1089" min="1" max="8" man="1"/>
    <brk id="1162" min="1" max="8" man="1"/>
    <brk id="1229" min="1" max="8" man="1"/>
    <brk id="1297" min="1" max="8" man="1"/>
    <brk id="1364" min="1" max="8" man="1"/>
    <brk id="1438" min="1" max="8" man="1"/>
    <brk id="1512" min="1" max="8" man="1"/>
    <brk id="1590" min="1" max="8" man="1"/>
    <brk id="1668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Q153"/>
  <sheetViews>
    <sheetView view="pageBreakPreview" zoomScale="115" zoomScaleNormal="100" zoomScaleSheetLayoutView="115" workbookViewId="0">
      <selection activeCell="C29" sqref="C29"/>
    </sheetView>
  </sheetViews>
  <sheetFormatPr defaultRowHeight="12.75"/>
  <cols>
    <col min="1" max="1" width="3.7109375" style="105" customWidth="1"/>
    <col min="2" max="2" width="10.28515625" style="466" customWidth="1"/>
    <col min="3" max="3" width="45.85546875" style="467" customWidth="1"/>
    <col min="4" max="4" width="9.140625" style="466" customWidth="1"/>
    <col min="5" max="5" width="13" style="475" customWidth="1"/>
    <col min="6" max="6" width="18.5703125" style="466" customWidth="1"/>
    <col min="7" max="7" width="9.7109375" style="437" customWidth="1"/>
    <col min="8" max="8" width="23" style="105" customWidth="1"/>
    <col min="9" max="9" width="9.140625" style="438"/>
    <col min="10" max="16384" width="9.140625" style="105"/>
  </cols>
  <sheetData>
    <row r="1" spans="1:10">
      <c r="A1" s="101"/>
      <c r="B1" s="455"/>
      <c r="C1" s="456"/>
      <c r="D1" s="457"/>
      <c r="F1" s="457"/>
    </row>
    <row r="2" spans="1:10" s="1" customFormat="1" ht="12" customHeight="1">
      <c r="B2" s="766" t="s">
        <v>512</v>
      </c>
      <c r="C2" s="767"/>
      <c r="D2" s="767"/>
      <c r="E2" s="767"/>
      <c r="F2" s="768"/>
      <c r="G2" s="468"/>
      <c r="H2" s="468"/>
      <c r="J2" s="184"/>
    </row>
    <row r="3" spans="1:10" s="4" customFormat="1" ht="12" customHeight="1">
      <c r="B3" s="769"/>
      <c r="C3" s="770"/>
      <c r="D3" s="770"/>
      <c r="E3" s="770"/>
      <c r="F3" s="771"/>
      <c r="G3" s="468"/>
      <c r="H3" s="468"/>
      <c r="J3" s="185"/>
    </row>
    <row r="4" spans="1:10" s="4" customFormat="1" ht="12.75" customHeight="1">
      <c r="B4" s="769"/>
      <c r="C4" s="770"/>
      <c r="D4" s="770"/>
      <c r="E4" s="770"/>
      <c r="F4" s="771"/>
      <c r="G4" s="468"/>
      <c r="H4" s="468"/>
      <c r="J4" s="185"/>
    </row>
    <row r="5" spans="1:10" s="4" customFormat="1" ht="15.75" customHeight="1">
      <c r="B5" s="772"/>
      <c r="C5" s="773"/>
      <c r="D5" s="773"/>
      <c r="E5" s="773"/>
      <c r="F5" s="774"/>
      <c r="G5" s="468"/>
      <c r="H5" s="468"/>
      <c r="J5" s="185"/>
    </row>
    <row r="6" spans="1:10">
      <c r="A6" s="101"/>
      <c r="B6" s="458"/>
      <c r="C6" s="315" t="s">
        <v>699</v>
      </c>
      <c r="D6" s="459" t="s">
        <v>268</v>
      </c>
      <c r="E6" s="476">
        <f>BDI!C37</f>
        <v>24.5</v>
      </c>
      <c r="F6" s="460" t="s">
        <v>269</v>
      </c>
    </row>
    <row r="7" spans="1:10">
      <c r="A7" s="388"/>
      <c r="B7" s="455"/>
      <c r="C7" s="461"/>
      <c r="D7" s="462"/>
      <c r="F7" s="462"/>
    </row>
    <row r="8" spans="1:10">
      <c r="A8" s="101"/>
      <c r="B8" s="763" t="s">
        <v>270</v>
      </c>
      <c r="C8" s="764"/>
      <c r="D8" s="764"/>
      <c r="E8" s="764"/>
      <c r="F8" s="765"/>
      <c r="H8" s="105" t="s">
        <v>271</v>
      </c>
    </row>
    <row r="9" spans="1:10">
      <c r="A9" s="388"/>
      <c r="B9" s="455"/>
      <c r="C9" s="461"/>
      <c r="D9" s="462"/>
      <c r="F9" s="462"/>
      <c r="H9" s="478">
        <v>1.9103000000000001</v>
      </c>
      <c r="I9" s="438" t="s">
        <v>569</v>
      </c>
    </row>
    <row r="10" spans="1:10">
      <c r="A10" s="101"/>
      <c r="B10" s="472" t="s">
        <v>2</v>
      </c>
      <c r="C10" s="471" t="s">
        <v>272</v>
      </c>
      <c r="D10" s="470" t="s">
        <v>5</v>
      </c>
      <c r="E10" s="477" t="s">
        <v>273</v>
      </c>
      <c r="F10" s="469" t="s">
        <v>274</v>
      </c>
      <c r="H10" s="439" t="s">
        <v>632</v>
      </c>
    </row>
    <row r="11" spans="1:10" s="443" customFormat="1" ht="15.95" customHeight="1">
      <c r="A11" s="463">
        <v>1</v>
      </c>
      <c r="B11" s="506">
        <v>2707</v>
      </c>
      <c r="C11" s="316" t="s">
        <v>522</v>
      </c>
      <c r="D11" s="114" t="s">
        <v>67</v>
      </c>
      <c r="E11" s="266">
        <f>89.35/H9</f>
        <v>46.77</v>
      </c>
      <c r="F11" s="115" t="s">
        <v>275</v>
      </c>
      <c r="G11" s="440"/>
      <c r="H11" s="441"/>
      <c r="I11" s="442"/>
    </row>
    <row r="12" spans="1:10" s="443" customFormat="1" ht="15.95" customHeight="1">
      <c r="A12" s="463"/>
      <c r="B12" s="506">
        <v>2706</v>
      </c>
      <c r="C12" s="316" t="s">
        <v>523</v>
      </c>
      <c r="D12" s="114" t="s">
        <v>67</v>
      </c>
      <c r="E12" s="266">
        <f>48.58/H9</f>
        <v>25.43</v>
      </c>
      <c r="F12" s="115" t="s">
        <v>275</v>
      </c>
      <c r="G12" s="440"/>
      <c r="H12" s="105" t="s">
        <v>271</v>
      </c>
      <c r="I12" s="438"/>
    </row>
    <row r="13" spans="1:10" s="443" customFormat="1" ht="15.95" customHeight="1">
      <c r="A13" s="463">
        <v>1</v>
      </c>
      <c r="B13" s="506">
        <v>20020</v>
      </c>
      <c r="C13" s="316" t="s">
        <v>276</v>
      </c>
      <c r="D13" s="114" t="s">
        <v>67</v>
      </c>
      <c r="E13" s="266">
        <f>14.33/H9</f>
        <v>7.5</v>
      </c>
      <c r="F13" s="115" t="s">
        <v>275</v>
      </c>
      <c r="G13" s="440"/>
      <c r="H13" s="478">
        <v>1.5099</v>
      </c>
      <c r="I13" s="438" t="s">
        <v>570</v>
      </c>
    </row>
    <row r="14" spans="1:10" s="443" customFormat="1" ht="15.95" customHeight="1">
      <c r="A14" s="463">
        <v>1</v>
      </c>
      <c r="B14" s="506">
        <v>6111</v>
      </c>
      <c r="C14" s="317" t="s">
        <v>75</v>
      </c>
      <c r="D14" s="114" t="s">
        <v>67</v>
      </c>
      <c r="E14" s="266">
        <f>6.53/H9</f>
        <v>3.42</v>
      </c>
      <c r="F14" s="115" t="s">
        <v>275</v>
      </c>
      <c r="G14" s="440"/>
      <c r="H14" s="444"/>
      <c r="I14" s="442"/>
    </row>
    <row r="15" spans="1:10" s="443" customFormat="1" ht="15.95" customHeight="1">
      <c r="A15" s="463"/>
      <c r="B15" s="506">
        <v>6115</v>
      </c>
      <c r="C15" s="317" t="s">
        <v>445</v>
      </c>
      <c r="D15" s="114" t="s">
        <v>67</v>
      </c>
      <c r="E15" s="266">
        <f>6.53/H9</f>
        <v>3.42</v>
      </c>
      <c r="F15" s="115" t="s">
        <v>275</v>
      </c>
      <c r="G15" s="440"/>
      <c r="H15" s="444"/>
      <c r="I15" s="442"/>
    </row>
    <row r="16" spans="1:10" s="443" customFormat="1" ht="15.95" customHeight="1">
      <c r="A16" s="463">
        <v>1</v>
      </c>
      <c r="B16" s="506">
        <v>6175</v>
      </c>
      <c r="C16" s="317" t="s">
        <v>277</v>
      </c>
      <c r="D16" s="114" t="s">
        <v>67</v>
      </c>
      <c r="E16" s="266">
        <f>17.16/H9</f>
        <v>8.98</v>
      </c>
      <c r="F16" s="115" t="s">
        <v>275</v>
      </c>
      <c r="G16" s="440"/>
      <c r="I16" s="445"/>
    </row>
    <row r="17" spans="1:9" s="443" customFormat="1" ht="15.95" customHeight="1">
      <c r="A17" s="463">
        <v>1</v>
      </c>
      <c r="B17" s="506">
        <v>4083</v>
      </c>
      <c r="C17" s="316" t="s">
        <v>99</v>
      </c>
      <c r="D17" s="114" t="s">
        <v>67</v>
      </c>
      <c r="E17" s="266">
        <f>18.99/H9</f>
        <v>9.94</v>
      </c>
      <c r="F17" s="115" t="s">
        <v>275</v>
      </c>
      <c r="G17" s="434"/>
      <c r="I17" s="445"/>
    </row>
    <row r="18" spans="1:9" s="443" customFormat="1" ht="15.95" customHeight="1">
      <c r="A18" s="463"/>
      <c r="B18" s="506">
        <v>1213</v>
      </c>
      <c r="C18" s="316" t="s">
        <v>90</v>
      </c>
      <c r="D18" s="114" t="s">
        <v>67</v>
      </c>
      <c r="E18" s="266">
        <f>8.69/H9</f>
        <v>4.55</v>
      </c>
      <c r="F18" s="115" t="s">
        <v>275</v>
      </c>
      <c r="G18" s="440"/>
      <c r="I18" s="445"/>
    </row>
    <row r="19" spans="1:9" s="443" customFormat="1" ht="15.95" customHeight="1">
      <c r="A19" s="463">
        <v>1</v>
      </c>
      <c r="B19" s="506">
        <v>4750</v>
      </c>
      <c r="C19" s="316" t="s">
        <v>149</v>
      </c>
      <c r="D19" s="114" t="s">
        <v>67</v>
      </c>
      <c r="E19" s="266">
        <f>8.69/H9</f>
        <v>4.55</v>
      </c>
      <c r="F19" s="115" t="s">
        <v>275</v>
      </c>
      <c r="G19" s="440"/>
      <c r="I19" s="445"/>
    </row>
    <row r="20" spans="1:9" s="443" customFormat="1" ht="15.95" customHeight="1">
      <c r="A20" s="463"/>
      <c r="B20" s="506">
        <v>4783</v>
      </c>
      <c r="C20" s="316" t="s">
        <v>461</v>
      </c>
      <c r="D20" s="114" t="s">
        <v>67</v>
      </c>
      <c r="E20" s="266">
        <f>8.69/H9</f>
        <v>4.55</v>
      </c>
      <c r="F20" s="115" t="s">
        <v>275</v>
      </c>
      <c r="G20" s="440"/>
      <c r="I20" s="445"/>
    </row>
    <row r="21" spans="1:9" s="443" customFormat="1" ht="15.95" customHeight="1">
      <c r="A21" s="463"/>
      <c r="B21" s="506">
        <v>2436</v>
      </c>
      <c r="C21" s="316" t="s">
        <v>141</v>
      </c>
      <c r="D21" s="114" t="s">
        <v>67</v>
      </c>
      <c r="E21" s="266">
        <f>8.69/H9</f>
        <v>4.55</v>
      </c>
      <c r="F21" s="115" t="s">
        <v>275</v>
      </c>
      <c r="G21" s="440"/>
      <c r="I21" s="445"/>
    </row>
    <row r="22" spans="1:9" s="443" customFormat="1" ht="15.95" customHeight="1">
      <c r="A22" s="463">
        <v>1</v>
      </c>
      <c r="B22" s="506">
        <v>4235</v>
      </c>
      <c r="C22" s="316" t="s">
        <v>105</v>
      </c>
      <c r="D22" s="114" t="s">
        <v>67</v>
      </c>
      <c r="E22" s="266">
        <f>16.73/H9</f>
        <v>8.76</v>
      </c>
      <c r="F22" s="115" t="s">
        <v>275</v>
      </c>
      <c r="G22" s="434"/>
      <c r="I22" s="445"/>
    </row>
    <row r="23" spans="1:9" s="444" customFormat="1" ht="15.95" customHeight="1">
      <c r="A23" s="464">
        <v>1</v>
      </c>
      <c r="B23" s="506">
        <v>4250</v>
      </c>
      <c r="C23" s="318" t="s">
        <v>306</v>
      </c>
      <c r="D23" s="114" t="s">
        <v>67</v>
      </c>
      <c r="E23" s="266">
        <f>14.62/H9</f>
        <v>7.65</v>
      </c>
      <c r="F23" s="115" t="s">
        <v>275</v>
      </c>
      <c r="G23" s="434"/>
      <c r="I23" s="442"/>
    </row>
    <row r="24" spans="1:9" s="443" customFormat="1" ht="15.95" customHeight="1">
      <c r="A24" s="463">
        <v>1</v>
      </c>
      <c r="B24" s="506">
        <v>2696</v>
      </c>
      <c r="C24" s="319" t="s">
        <v>119</v>
      </c>
      <c r="D24" s="117" t="s">
        <v>67</v>
      </c>
      <c r="E24" s="267">
        <f>8.69/H9</f>
        <v>4.55</v>
      </c>
      <c r="F24" s="115" t="s">
        <v>275</v>
      </c>
      <c r="G24" s="440"/>
      <c r="I24" s="445"/>
    </row>
    <row r="25" spans="1:9" s="443" customFormat="1" ht="15.95" customHeight="1">
      <c r="B25" s="506">
        <v>2706</v>
      </c>
      <c r="C25" s="320" t="s">
        <v>183</v>
      </c>
      <c r="D25" s="116" t="s">
        <v>19</v>
      </c>
      <c r="E25" s="266">
        <f>(48.58/H9*220)*H13</f>
        <v>8447.4699999999993</v>
      </c>
      <c r="F25" s="116" t="s">
        <v>275</v>
      </c>
      <c r="G25" s="440"/>
      <c r="I25" s="445"/>
    </row>
    <row r="26" spans="1:9" s="443" customFormat="1" ht="15.95" customHeight="1">
      <c r="B26" s="506">
        <v>2355</v>
      </c>
      <c r="C26" s="320" t="s">
        <v>184</v>
      </c>
      <c r="D26" s="116" t="s">
        <v>19</v>
      </c>
      <c r="E26" s="266">
        <f>(14.75/H9*220)*H13</f>
        <v>2564.85</v>
      </c>
      <c r="F26" s="116" t="s">
        <v>275</v>
      </c>
      <c r="G26" s="440"/>
      <c r="I26" s="445"/>
    </row>
    <row r="27" spans="1:9" s="443" customFormat="1" ht="15.95" customHeight="1">
      <c r="B27" s="506">
        <v>7592</v>
      </c>
      <c r="C27" s="318" t="s">
        <v>185</v>
      </c>
      <c r="D27" s="117" t="s">
        <v>67</v>
      </c>
      <c r="E27" s="267">
        <f>12.91/H9</f>
        <v>6.76</v>
      </c>
      <c r="F27" s="117" t="s">
        <v>275</v>
      </c>
      <c r="G27" s="434"/>
      <c r="I27" s="445"/>
    </row>
    <row r="28" spans="1:9" s="443" customFormat="1" ht="15.95" customHeight="1">
      <c r="B28" s="506">
        <v>244</v>
      </c>
      <c r="C28" s="318" t="s">
        <v>186</v>
      </c>
      <c r="D28" s="117" t="s">
        <v>67</v>
      </c>
      <c r="E28" s="267">
        <f>4.31/H9</f>
        <v>2.2599999999999998</v>
      </c>
      <c r="F28" s="117" t="s">
        <v>275</v>
      </c>
      <c r="G28" s="434"/>
      <c r="I28" s="445"/>
    </row>
    <row r="29" spans="1:9" s="443" customFormat="1" ht="15.95" customHeight="1">
      <c r="B29" s="506">
        <v>6113</v>
      </c>
      <c r="C29" s="318" t="s">
        <v>188</v>
      </c>
      <c r="D29" s="117" t="s">
        <v>67</v>
      </c>
      <c r="E29" s="267">
        <f>7.15/H9</f>
        <v>3.74</v>
      </c>
      <c r="F29" s="117" t="s">
        <v>275</v>
      </c>
      <c r="G29" s="434"/>
      <c r="I29" s="445"/>
    </row>
    <row r="30" spans="1:9" s="443" customFormat="1" ht="15.95" customHeight="1">
      <c r="B30" s="506">
        <v>7595</v>
      </c>
      <c r="C30" s="318" t="s">
        <v>386</v>
      </c>
      <c r="D30" s="117" t="s">
        <v>67</v>
      </c>
      <c r="E30" s="267">
        <f>5.9/H9</f>
        <v>3.09</v>
      </c>
      <c r="F30" s="117" t="s">
        <v>275</v>
      </c>
      <c r="G30" s="434"/>
      <c r="I30" s="445"/>
    </row>
    <row r="31" spans="1:9" s="443" customFormat="1" ht="15.95" customHeight="1">
      <c r="B31" s="506"/>
      <c r="C31" s="321" t="s">
        <v>390</v>
      </c>
      <c r="D31" s="117"/>
      <c r="E31" s="267"/>
      <c r="F31" s="117"/>
      <c r="G31" s="434"/>
      <c r="I31" s="445"/>
    </row>
    <row r="32" spans="1:9" s="443" customFormat="1" ht="15.95" customHeight="1">
      <c r="A32" s="463">
        <v>1</v>
      </c>
      <c r="B32" s="506">
        <v>4221</v>
      </c>
      <c r="C32" s="316" t="s">
        <v>278</v>
      </c>
      <c r="D32" s="114" t="s">
        <v>164</v>
      </c>
      <c r="E32" s="266">
        <v>2.38</v>
      </c>
      <c r="F32" s="115" t="s">
        <v>275</v>
      </c>
      <c r="G32" s="440"/>
      <c r="I32" s="445"/>
    </row>
    <row r="33" spans="1:9" s="443" customFormat="1" ht="15.95" customHeight="1">
      <c r="A33" s="463">
        <v>1</v>
      </c>
      <c r="B33" s="506">
        <v>4227</v>
      </c>
      <c r="C33" s="316" t="s">
        <v>393</v>
      </c>
      <c r="D33" s="114" t="s">
        <v>164</v>
      </c>
      <c r="E33" s="266">
        <v>14</v>
      </c>
      <c r="F33" s="115" t="s">
        <v>275</v>
      </c>
      <c r="G33" s="440"/>
      <c r="I33" s="445"/>
    </row>
    <row r="34" spans="1:9" s="443" customFormat="1" ht="15.95" customHeight="1">
      <c r="A34" s="463">
        <v>1</v>
      </c>
      <c r="B34" s="506">
        <v>5075</v>
      </c>
      <c r="C34" s="317" t="s">
        <v>279</v>
      </c>
      <c r="D34" s="114" t="s">
        <v>88</v>
      </c>
      <c r="E34" s="266">
        <v>6.51</v>
      </c>
      <c r="F34" s="115" t="s">
        <v>275</v>
      </c>
      <c r="G34" s="440"/>
      <c r="I34" s="445"/>
    </row>
    <row r="35" spans="1:9" s="489" customFormat="1" ht="15.95" customHeight="1">
      <c r="A35" s="487"/>
      <c r="B35" s="501">
        <v>16</v>
      </c>
      <c r="C35" s="498" t="s">
        <v>352</v>
      </c>
      <c r="D35" s="499" t="s">
        <v>88</v>
      </c>
      <c r="E35" s="500">
        <v>4.13</v>
      </c>
      <c r="F35" s="115" t="s">
        <v>275</v>
      </c>
      <c r="G35" s="488"/>
      <c r="I35" s="490"/>
    </row>
    <row r="36" spans="1:9" s="443" customFormat="1" ht="15.95" customHeight="1">
      <c r="A36" s="463">
        <v>2</v>
      </c>
      <c r="B36" s="506">
        <v>9869</v>
      </c>
      <c r="C36" s="317" t="s">
        <v>359</v>
      </c>
      <c r="D36" s="114" t="s">
        <v>280</v>
      </c>
      <c r="E36" s="266">
        <v>5.63</v>
      </c>
      <c r="F36" s="115" t="s">
        <v>275</v>
      </c>
      <c r="G36" s="440"/>
      <c r="I36" s="445"/>
    </row>
    <row r="37" spans="1:9" s="443" customFormat="1" ht="15.95" customHeight="1">
      <c r="A37" s="463">
        <v>1</v>
      </c>
      <c r="B37" s="506">
        <v>9866</v>
      </c>
      <c r="C37" s="317" t="s">
        <v>571</v>
      </c>
      <c r="D37" s="114" t="s">
        <v>27</v>
      </c>
      <c r="E37" s="266">
        <v>9.7200000000000006</v>
      </c>
      <c r="F37" s="115" t="s">
        <v>275</v>
      </c>
      <c r="G37" s="440"/>
      <c r="I37" s="445"/>
    </row>
    <row r="38" spans="1:9" s="443" customFormat="1" ht="15.95" customHeight="1">
      <c r="A38" s="463">
        <v>1</v>
      </c>
      <c r="B38" s="506">
        <v>122</v>
      </c>
      <c r="C38" s="317" t="s">
        <v>281</v>
      </c>
      <c r="D38" s="114" t="s">
        <v>88</v>
      </c>
      <c r="E38" s="266">
        <v>31.47</v>
      </c>
      <c r="F38" s="115" t="s">
        <v>275</v>
      </c>
      <c r="G38" s="440"/>
      <c r="I38" s="445"/>
    </row>
    <row r="39" spans="1:9" s="443" customFormat="1" ht="15.95" customHeight="1">
      <c r="A39" s="463">
        <v>1</v>
      </c>
      <c r="B39" s="506">
        <v>12599</v>
      </c>
      <c r="C39" s="317" t="s">
        <v>282</v>
      </c>
      <c r="D39" s="114" t="s">
        <v>27</v>
      </c>
      <c r="E39" s="266">
        <v>10.39</v>
      </c>
      <c r="F39" s="115" t="s">
        <v>275</v>
      </c>
      <c r="G39" s="440"/>
      <c r="I39" s="445"/>
    </row>
    <row r="40" spans="1:9" s="443" customFormat="1" ht="15.95" customHeight="1">
      <c r="A40" s="463">
        <v>1</v>
      </c>
      <c r="B40" s="506">
        <v>1379</v>
      </c>
      <c r="C40" s="317" t="s">
        <v>283</v>
      </c>
      <c r="D40" s="114" t="s">
        <v>88</v>
      </c>
      <c r="E40" s="266">
        <v>0.5</v>
      </c>
      <c r="F40" s="115" t="s">
        <v>275</v>
      </c>
      <c r="G40" s="440"/>
      <c r="I40" s="445"/>
    </row>
    <row r="41" spans="1:9" s="443" customFormat="1" ht="15.95" customHeight="1">
      <c r="A41" s="463">
        <v>1</v>
      </c>
      <c r="B41" s="506">
        <v>4721</v>
      </c>
      <c r="C41" s="319" t="s">
        <v>495</v>
      </c>
      <c r="D41" s="114" t="s">
        <v>32</v>
      </c>
      <c r="E41" s="266">
        <v>68.13</v>
      </c>
      <c r="F41" s="115" t="s">
        <v>275</v>
      </c>
      <c r="G41" s="440"/>
      <c r="I41" s="445"/>
    </row>
    <row r="42" spans="1:9" s="443" customFormat="1" ht="15.95" customHeight="1">
      <c r="A42" s="463">
        <v>1</v>
      </c>
      <c r="B42" s="506">
        <v>4718</v>
      </c>
      <c r="C42" s="318" t="s">
        <v>297</v>
      </c>
      <c r="D42" s="114" t="s">
        <v>32</v>
      </c>
      <c r="E42" s="266">
        <v>65.8</v>
      </c>
      <c r="F42" s="115" t="s">
        <v>275</v>
      </c>
      <c r="G42" s="440"/>
      <c r="I42" s="445"/>
    </row>
    <row r="43" spans="1:9" s="443" customFormat="1" ht="15.95" customHeight="1">
      <c r="A43" s="463"/>
      <c r="B43" s="506">
        <v>4730</v>
      </c>
      <c r="C43" s="319" t="s">
        <v>471</v>
      </c>
      <c r="D43" s="114" t="s">
        <v>32</v>
      </c>
      <c r="E43" s="266">
        <v>53.32</v>
      </c>
      <c r="F43" s="115" t="s">
        <v>275</v>
      </c>
      <c r="G43" s="440"/>
      <c r="I43" s="445"/>
    </row>
    <row r="44" spans="1:9" s="443" customFormat="1" ht="27" customHeight="1">
      <c r="A44" s="463"/>
      <c r="B44" s="506">
        <v>11075</v>
      </c>
      <c r="C44" s="312" t="s">
        <v>418</v>
      </c>
      <c r="D44" s="114" t="s">
        <v>32</v>
      </c>
      <c r="E44" s="266">
        <v>680</v>
      </c>
      <c r="F44" s="115" t="s">
        <v>275</v>
      </c>
      <c r="G44" s="440"/>
      <c r="I44" s="445"/>
    </row>
    <row r="45" spans="1:9" s="443" customFormat="1" ht="15.95" customHeight="1">
      <c r="A45" s="463">
        <v>1</v>
      </c>
      <c r="B45" s="506">
        <v>370</v>
      </c>
      <c r="C45" s="317" t="s">
        <v>284</v>
      </c>
      <c r="D45" s="114" t="s">
        <v>32</v>
      </c>
      <c r="E45" s="266">
        <v>70</v>
      </c>
      <c r="F45" s="115" t="s">
        <v>275</v>
      </c>
      <c r="G45" s="440"/>
      <c r="I45" s="445"/>
    </row>
    <row r="46" spans="1:9" s="443" customFormat="1" ht="15.95" customHeight="1">
      <c r="A46" s="463">
        <v>1</v>
      </c>
      <c r="B46" s="499">
        <v>367</v>
      </c>
      <c r="C46" s="317" t="s">
        <v>285</v>
      </c>
      <c r="D46" s="114" t="s">
        <v>32</v>
      </c>
      <c r="E46" s="266">
        <v>70</v>
      </c>
      <c r="F46" s="115" t="s">
        <v>275</v>
      </c>
      <c r="G46" s="440"/>
      <c r="I46" s="445"/>
    </row>
    <row r="47" spans="1:9" s="443" customFormat="1" ht="15.95" customHeight="1">
      <c r="A47" s="463"/>
      <c r="B47" s="499">
        <v>368</v>
      </c>
      <c r="C47" s="317" t="s">
        <v>478</v>
      </c>
      <c r="D47" s="114" t="s">
        <v>32</v>
      </c>
      <c r="E47" s="266">
        <v>36</v>
      </c>
      <c r="F47" s="115" t="s">
        <v>275</v>
      </c>
      <c r="G47" s="440"/>
      <c r="I47" s="445"/>
    </row>
    <row r="48" spans="1:9" s="443" customFormat="1" ht="15.95" customHeight="1">
      <c r="A48" s="463">
        <v>1</v>
      </c>
      <c r="B48" s="499">
        <v>404</v>
      </c>
      <c r="C48" s="317" t="s">
        <v>286</v>
      </c>
      <c r="D48" s="114" t="s">
        <v>27</v>
      </c>
      <c r="E48" s="266">
        <v>1.79</v>
      </c>
      <c r="F48" s="115" t="s">
        <v>275</v>
      </c>
      <c r="G48" s="440"/>
      <c r="I48" s="445"/>
    </row>
    <row r="49" spans="1:11" s="443" customFormat="1" ht="15.95" customHeight="1">
      <c r="A49" s="463">
        <v>1</v>
      </c>
      <c r="B49" s="506">
        <v>3143</v>
      </c>
      <c r="C49" s="317" t="s">
        <v>287</v>
      </c>
      <c r="D49" s="116" t="s">
        <v>379</v>
      </c>
      <c r="E49" s="266">
        <v>4.1500000000000004</v>
      </c>
      <c r="F49" s="115" t="s">
        <v>275</v>
      </c>
      <c r="G49" s="440"/>
      <c r="I49" s="445"/>
    </row>
    <row r="50" spans="1:11" s="443" customFormat="1" ht="15.95" customHeight="1">
      <c r="A50" s="463">
        <v>1</v>
      </c>
      <c r="B50" s="506">
        <v>3146</v>
      </c>
      <c r="C50" s="317" t="s">
        <v>288</v>
      </c>
      <c r="D50" s="116" t="s">
        <v>379</v>
      </c>
      <c r="E50" s="266">
        <v>1.8</v>
      </c>
      <c r="F50" s="115" t="s">
        <v>275</v>
      </c>
      <c r="G50" s="440"/>
      <c r="I50" s="445"/>
    </row>
    <row r="51" spans="1:11" s="443" customFormat="1" ht="15.95" customHeight="1">
      <c r="A51" s="463">
        <v>1</v>
      </c>
      <c r="B51" s="506">
        <v>13914</v>
      </c>
      <c r="C51" s="318" t="s">
        <v>289</v>
      </c>
      <c r="D51" s="116" t="s">
        <v>379</v>
      </c>
      <c r="E51" s="266">
        <v>1379.34</v>
      </c>
      <c r="F51" s="115" t="s">
        <v>275</v>
      </c>
      <c r="G51" s="440"/>
      <c r="H51" s="127"/>
      <c r="I51" s="445"/>
    </row>
    <row r="52" spans="1:11" s="489" customFormat="1" ht="15.95" customHeight="1">
      <c r="A52" s="487"/>
      <c r="B52" s="506"/>
      <c r="C52" s="514" t="s">
        <v>477</v>
      </c>
      <c r="D52" s="499" t="s">
        <v>67</v>
      </c>
      <c r="E52" s="500">
        <v>150</v>
      </c>
      <c r="F52" s="512" t="s">
        <v>313</v>
      </c>
      <c r="G52" s="488"/>
      <c r="H52" s="492"/>
      <c r="I52" s="490"/>
    </row>
    <row r="53" spans="1:11" s="489" customFormat="1" ht="66.75" customHeight="1">
      <c r="A53" s="487"/>
      <c r="B53" s="506"/>
      <c r="C53" s="514" t="s">
        <v>642</v>
      </c>
      <c r="D53" s="499" t="s">
        <v>379</v>
      </c>
      <c r="E53" s="520">
        <f>(7420+5300)/2</f>
        <v>6360</v>
      </c>
      <c r="F53" s="512" t="s">
        <v>313</v>
      </c>
      <c r="G53" s="488" t="s">
        <v>574</v>
      </c>
      <c r="H53" s="492"/>
      <c r="I53" s="490"/>
    </row>
    <row r="54" spans="1:11" s="489" customFormat="1" ht="28.5" customHeight="1">
      <c r="A54" s="487"/>
      <c r="B54" s="501">
        <v>10587</v>
      </c>
      <c r="C54" s="519" t="s">
        <v>688</v>
      </c>
      <c r="D54" s="506" t="s">
        <v>379</v>
      </c>
      <c r="E54" s="520">
        <v>2929.91</v>
      </c>
      <c r="F54" s="512" t="s">
        <v>275</v>
      </c>
      <c r="G54" s="488"/>
      <c r="I54" s="490"/>
    </row>
    <row r="55" spans="1:11" s="443" customFormat="1" ht="28.5" customHeight="1">
      <c r="A55" s="463"/>
      <c r="B55" s="499">
        <v>759</v>
      </c>
      <c r="C55" s="322" t="s">
        <v>509</v>
      </c>
      <c r="D55" s="116" t="s">
        <v>379</v>
      </c>
      <c r="E55" s="491">
        <v>4315.66</v>
      </c>
      <c r="F55" s="115" t="s">
        <v>275</v>
      </c>
      <c r="G55" s="440"/>
      <c r="I55" s="445"/>
    </row>
    <row r="56" spans="1:11" s="489" customFormat="1" ht="25.5">
      <c r="A56" s="487">
        <v>1</v>
      </c>
      <c r="B56" s="506"/>
      <c r="C56" s="498" t="s">
        <v>568</v>
      </c>
      <c r="D56" s="499" t="s">
        <v>27</v>
      </c>
      <c r="E56" s="500">
        <f>70.91/4</f>
        <v>17.73</v>
      </c>
      <c r="F56" s="512" t="s">
        <v>313</v>
      </c>
      <c r="G56" s="488" t="s">
        <v>646</v>
      </c>
      <c r="H56" s="493"/>
      <c r="I56" s="494"/>
      <c r="J56" s="495"/>
      <c r="K56" s="489">
        <v>17.98</v>
      </c>
    </row>
    <row r="57" spans="1:11" s="489" customFormat="1" ht="15.95" customHeight="1">
      <c r="A57" s="487"/>
      <c r="B57" s="506"/>
      <c r="C57" s="518" t="s">
        <v>417</v>
      </c>
      <c r="D57" s="499" t="s">
        <v>27</v>
      </c>
      <c r="E57" s="500">
        <v>100</v>
      </c>
      <c r="F57" s="512" t="s">
        <v>313</v>
      </c>
      <c r="G57" s="488" t="s">
        <v>645</v>
      </c>
      <c r="H57" s="493"/>
      <c r="I57" s="494"/>
      <c r="J57" s="495"/>
    </row>
    <row r="58" spans="1:11" s="443" customFormat="1" ht="15.95" customHeight="1">
      <c r="A58" s="463">
        <v>1</v>
      </c>
      <c r="B58" s="506">
        <v>643</v>
      </c>
      <c r="C58" s="310" t="s">
        <v>125</v>
      </c>
      <c r="D58" s="114" t="s">
        <v>67</v>
      </c>
      <c r="E58" s="266">
        <v>2.94</v>
      </c>
      <c r="F58" s="115" t="s">
        <v>275</v>
      </c>
      <c r="G58" s="447"/>
      <c r="H58" s="444" t="s">
        <v>479</v>
      </c>
      <c r="I58" s="442"/>
      <c r="J58" s="444"/>
      <c r="K58" s="444"/>
    </row>
    <row r="59" spans="1:11" s="443" customFormat="1" ht="15.95" customHeight="1">
      <c r="A59" s="463">
        <v>1</v>
      </c>
      <c r="B59" s="506">
        <v>7271</v>
      </c>
      <c r="C59" s="317" t="s">
        <v>290</v>
      </c>
      <c r="D59" s="116" t="s">
        <v>379</v>
      </c>
      <c r="E59" s="266">
        <v>0.45</v>
      </c>
      <c r="F59" s="115" t="s">
        <v>275</v>
      </c>
      <c r="G59" s="440"/>
      <c r="I59" s="445"/>
    </row>
    <row r="60" spans="1:11" s="443" customFormat="1" ht="15.95" customHeight="1">
      <c r="A60" s="463">
        <v>1</v>
      </c>
      <c r="B60" s="506">
        <v>4114</v>
      </c>
      <c r="C60" s="317" t="s">
        <v>291</v>
      </c>
      <c r="D60" s="116" t="s">
        <v>379</v>
      </c>
      <c r="E60" s="266">
        <v>33.32</v>
      </c>
      <c r="F60" s="115" t="s">
        <v>275</v>
      </c>
      <c r="G60" s="440"/>
      <c r="H60" s="444"/>
      <c r="I60" s="445"/>
    </row>
    <row r="61" spans="1:11" s="489" customFormat="1" ht="27.75" customHeight="1">
      <c r="A61" s="487"/>
      <c r="B61" s="509"/>
      <c r="C61" s="510" t="s">
        <v>513</v>
      </c>
      <c r="D61" s="511" t="s">
        <v>67</v>
      </c>
      <c r="E61" s="500">
        <f>(2500/30)/8</f>
        <v>10.42</v>
      </c>
      <c r="F61" s="512" t="s">
        <v>320</v>
      </c>
      <c r="G61" s="488" t="s">
        <v>573</v>
      </c>
      <c r="I61" s="490"/>
    </row>
    <row r="62" spans="1:11" s="489" customFormat="1" ht="27.75" customHeight="1">
      <c r="A62" s="487"/>
      <c r="B62" s="509">
        <v>7252</v>
      </c>
      <c r="C62" s="510" t="s">
        <v>389</v>
      </c>
      <c r="D62" s="511" t="s">
        <v>67</v>
      </c>
      <c r="E62" s="500">
        <v>1.18</v>
      </c>
      <c r="F62" s="512" t="s">
        <v>275</v>
      </c>
      <c r="G62" s="488"/>
      <c r="I62" s="490"/>
    </row>
    <row r="63" spans="1:11" s="443" customFormat="1" ht="29.25" customHeight="1">
      <c r="A63" s="463">
        <v>1</v>
      </c>
      <c r="B63" s="506">
        <v>4102</v>
      </c>
      <c r="C63" s="310" t="s">
        <v>292</v>
      </c>
      <c r="D63" s="116" t="s">
        <v>379</v>
      </c>
      <c r="E63" s="266">
        <v>32.4</v>
      </c>
      <c r="F63" s="115" t="s">
        <v>275</v>
      </c>
      <c r="G63" s="440"/>
      <c r="I63" s="445"/>
    </row>
    <row r="64" spans="1:11" s="443" customFormat="1" ht="15.95" customHeight="1">
      <c r="A64" s="463"/>
      <c r="B64" s="506">
        <v>340</v>
      </c>
      <c r="C64" s="322" t="s">
        <v>519</v>
      </c>
      <c r="D64" s="114" t="s">
        <v>27</v>
      </c>
      <c r="E64" s="266">
        <v>0.34</v>
      </c>
      <c r="F64" s="115" t="s">
        <v>275</v>
      </c>
      <c r="G64" s="440"/>
      <c r="I64" s="445"/>
    </row>
    <row r="65" spans="1:11" s="443" customFormat="1" ht="15.95" customHeight="1">
      <c r="A65" s="463">
        <v>1</v>
      </c>
      <c r="B65" s="506">
        <v>344</v>
      </c>
      <c r="C65" s="322" t="s">
        <v>293</v>
      </c>
      <c r="D65" s="114" t="s">
        <v>88</v>
      </c>
      <c r="E65" s="266">
        <v>7.16</v>
      </c>
      <c r="F65" s="115" t="s">
        <v>275</v>
      </c>
      <c r="G65" s="440"/>
      <c r="I65" s="445"/>
    </row>
    <row r="66" spans="1:11" s="443" customFormat="1" ht="15.95" customHeight="1">
      <c r="A66" s="463">
        <v>1</v>
      </c>
      <c r="B66" s="506">
        <v>338</v>
      </c>
      <c r="C66" s="310" t="s">
        <v>294</v>
      </c>
      <c r="D66" s="114" t="s">
        <v>88</v>
      </c>
      <c r="E66" s="266">
        <v>7.29</v>
      </c>
      <c r="F66" s="115" t="s">
        <v>275</v>
      </c>
      <c r="G66" s="440"/>
      <c r="I66" s="445"/>
    </row>
    <row r="67" spans="1:11" s="443" customFormat="1" ht="15.95" customHeight="1">
      <c r="A67" s="463">
        <v>1</v>
      </c>
      <c r="B67" s="506">
        <v>337</v>
      </c>
      <c r="C67" s="322" t="s">
        <v>161</v>
      </c>
      <c r="D67" s="114" t="s">
        <v>88</v>
      </c>
      <c r="E67" s="266">
        <v>8.5</v>
      </c>
      <c r="F67" s="115" t="s">
        <v>275</v>
      </c>
      <c r="G67" s="440"/>
      <c r="I67" s="445"/>
    </row>
    <row r="68" spans="1:11" s="443" customFormat="1" ht="15.95" customHeight="1">
      <c r="A68" s="463">
        <v>1</v>
      </c>
      <c r="B68" s="506" t="s">
        <v>295</v>
      </c>
      <c r="C68" s="310" t="s">
        <v>296</v>
      </c>
      <c r="D68" s="114" t="s">
        <v>88</v>
      </c>
      <c r="E68" s="266">
        <v>3.31</v>
      </c>
      <c r="F68" s="115" t="s">
        <v>275</v>
      </c>
      <c r="G68" s="440"/>
      <c r="I68" s="445"/>
      <c r="J68" s="448"/>
    </row>
    <row r="69" spans="1:11" s="443" customFormat="1" ht="15.95" customHeight="1">
      <c r="A69" s="463">
        <v>1</v>
      </c>
      <c r="B69" s="506">
        <v>11161</v>
      </c>
      <c r="C69" s="318" t="s">
        <v>153</v>
      </c>
      <c r="D69" s="114" t="s">
        <v>88</v>
      </c>
      <c r="E69" s="266">
        <v>0.89</v>
      </c>
      <c r="F69" s="115" t="s">
        <v>275</v>
      </c>
      <c r="G69" s="440"/>
      <c r="I69" s="445"/>
    </row>
    <row r="70" spans="1:11" s="443" customFormat="1" ht="15.95" customHeight="1">
      <c r="A70" s="463">
        <v>1</v>
      </c>
      <c r="B70" s="506">
        <v>12775</v>
      </c>
      <c r="C70" s="318" t="s">
        <v>559</v>
      </c>
      <c r="D70" s="116" t="s">
        <v>379</v>
      </c>
      <c r="E70" s="266">
        <v>295.35000000000002</v>
      </c>
      <c r="F70" s="115" t="s">
        <v>275</v>
      </c>
      <c r="G70" s="440"/>
      <c r="I70" s="445"/>
    </row>
    <row r="71" spans="1:11" s="443" customFormat="1" ht="15.95" customHeight="1">
      <c r="A71" s="463">
        <v>1</v>
      </c>
      <c r="B71" s="506">
        <v>11822</v>
      </c>
      <c r="C71" s="318" t="s">
        <v>156</v>
      </c>
      <c r="D71" s="116" t="s">
        <v>379</v>
      </c>
      <c r="E71" s="266">
        <v>7.3</v>
      </c>
      <c r="F71" s="115" t="s">
        <v>275</v>
      </c>
      <c r="G71" s="440"/>
      <c r="I71" s="445"/>
    </row>
    <row r="72" spans="1:11" s="443" customFormat="1" ht="15.95" customHeight="1">
      <c r="A72" s="463"/>
      <c r="B72" s="506">
        <v>11829</v>
      </c>
      <c r="C72" s="318" t="s">
        <v>560</v>
      </c>
      <c r="D72" s="116" t="s">
        <v>379</v>
      </c>
      <c r="E72" s="266">
        <v>13.63</v>
      </c>
      <c r="F72" s="115" t="s">
        <v>275</v>
      </c>
      <c r="G72" s="440"/>
      <c r="I72" s="445"/>
    </row>
    <row r="73" spans="1:11" s="443" customFormat="1" ht="25.5" customHeight="1">
      <c r="A73" s="463"/>
      <c r="B73" s="506">
        <v>85</v>
      </c>
      <c r="C73" s="318" t="s">
        <v>561</v>
      </c>
      <c r="D73" s="145" t="s">
        <v>379</v>
      </c>
      <c r="E73" s="266">
        <v>19.829999999999998</v>
      </c>
      <c r="F73" s="115" t="s">
        <v>275</v>
      </c>
      <c r="G73" s="440"/>
      <c r="I73" s="445"/>
    </row>
    <row r="74" spans="1:11" s="443" customFormat="1" ht="25.5" customHeight="1">
      <c r="A74" s="463"/>
      <c r="B74" s="506">
        <v>71</v>
      </c>
      <c r="C74" s="318" t="s">
        <v>562</v>
      </c>
      <c r="D74" s="145" t="s">
        <v>379</v>
      </c>
      <c r="E74" s="266">
        <v>13.02</v>
      </c>
      <c r="F74" s="115" t="s">
        <v>275</v>
      </c>
      <c r="G74" s="440"/>
      <c r="I74" s="445"/>
    </row>
    <row r="75" spans="1:11" s="443" customFormat="1" ht="15.95" customHeight="1">
      <c r="A75" s="463">
        <v>1</v>
      </c>
      <c r="B75" s="506">
        <v>2692</v>
      </c>
      <c r="C75" s="318" t="s">
        <v>157</v>
      </c>
      <c r="D75" s="114" t="s">
        <v>164</v>
      </c>
      <c r="E75" s="266">
        <v>9.2100000000000009</v>
      </c>
      <c r="F75" s="115" t="s">
        <v>275</v>
      </c>
      <c r="G75" s="440"/>
      <c r="I75" s="445"/>
    </row>
    <row r="76" spans="1:11" s="443" customFormat="1" ht="15.95" customHeight="1">
      <c r="A76" s="463">
        <v>1</v>
      </c>
      <c r="B76" s="506">
        <v>7345</v>
      </c>
      <c r="C76" s="318" t="s">
        <v>298</v>
      </c>
      <c r="D76" s="114" t="s">
        <v>164</v>
      </c>
      <c r="E76" s="266">
        <v>12.9</v>
      </c>
      <c r="F76" s="115" t="s">
        <v>275</v>
      </c>
      <c r="G76" s="440"/>
      <c r="I76" s="445"/>
    </row>
    <row r="77" spans="1:11" s="443" customFormat="1" ht="15.95" customHeight="1">
      <c r="A77" s="463"/>
      <c r="B77" s="506">
        <v>7293</v>
      </c>
      <c r="C77" s="317" t="s">
        <v>465</v>
      </c>
      <c r="D77" s="114" t="s">
        <v>164</v>
      </c>
      <c r="E77" s="266">
        <v>21.39</v>
      </c>
      <c r="F77" s="115" t="s">
        <v>275</v>
      </c>
      <c r="G77" s="440"/>
      <c r="I77" s="445"/>
    </row>
    <row r="78" spans="1:11" s="443" customFormat="1" ht="15.95" customHeight="1">
      <c r="A78" s="463">
        <v>1</v>
      </c>
      <c r="B78" s="506">
        <v>4492</v>
      </c>
      <c r="C78" s="319" t="s">
        <v>299</v>
      </c>
      <c r="D78" s="117" t="s">
        <v>27</v>
      </c>
      <c r="E78" s="267">
        <v>7.93</v>
      </c>
      <c r="F78" s="115" t="s">
        <v>275</v>
      </c>
      <c r="G78" s="449"/>
      <c r="I78" s="445"/>
    </row>
    <row r="79" spans="1:11" s="443" customFormat="1" ht="28.5" customHeight="1">
      <c r="A79" s="463">
        <v>1</v>
      </c>
      <c r="B79" s="506">
        <v>3743</v>
      </c>
      <c r="C79" s="310" t="s">
        <v>331</v>
      </c>
      <c r="D79" s="114" t="s">
        <v>85</v>
      </c>
      <c r="E79" s="266">
        <v>27.86</v>
      </c>
      <c r="F79" s="115" t="s">
        <v>275</v>
      </c>
      <c r="G79" s="449"/>
      <c r="I79" s="442"/>
      <c r="J79" s="444"/>
      <c r="K79" s="444"/>
    </row>
    <row r="80" spans="1:11" s="443" customFormat="1" ht="15.95" customHeight="1">
      <c r="A80" s="463">
        <v>1</v>
      </c>
      <c r="B80" s="506">
        <v>3767</v>
      </c>
      <c r="C80" s="318" t="s">
        <v>167</v>
      </c>
      <c r="D80" s="116" t="s">
        <v>379</v>
      </c>
      <c r="E80" s="266">
        <v>0.28000000000000003</v>
      </c>
      <c r="F80" s="115" t="s">
        <v>275</v>
      </c>
      <c r="G80" s="440"/>
      <c r="I80" s="445"/>
    </row>
    <row r="81" spans="1:9" s="443" customFormat="1" ht="15.95" customHeight="1">
      <c r="A81" s="463"/>
      <c r="B81" s="506">
        <v>3768</v>
      </c>
      <c r="C81" s="318" t="s">
        <v>464</v>
      </c>
      <c r="D81" s="116" t="s">
        <v>379</v>
      </c>
      <c r="E81" s="266">
        <v>1.26</v>
      </c>
      <c r="F81" s="115" t="s">
        <v>275</v>
      </c>
      <c r="G81" s="440"/>
      <c r="I81" s="445"/>
    </row>
    <row r="82" spans="1:9" s="443" customFormat="1" ht="15.95" customHeight="1">
      <c r="A82" s="463">
        <v>1</v>
      </c>
      <c r="B82" s="506">
        <v>4938</v>
      </c>
      <c r="C82" s="310" t="s">
        <v>300</v>
      </c>
      <c r="D82" s="116" t="s">
        <v>379</v>
      </c>
      <c r="E82" s="266">
        <v>396.75</v>
      </c>
      <c r="F82" s="115" t="s">
        <v>275</v>
      </c>
      <c r="G82" s="450"/>
      <c r="I82" s="445"/>
    </row>
    <row r="83" spans="1:9" s="443" customFormat="1" ht="15.95" customHeight="1">
      <c r="A83" s="463">
        <v>1</v>
      </c>
      <c r="B83" s="506">
        <v>2420</v>
      </c>
      <c r="C83" s="318" t="s">
        <v>301</v>
      </c>
      <c r="D83" s="116" t="s">
        <v>379</v>
      </c>
      <c r="E83" s="266">
        <v>6.31</v>
      </c>
      <c r="F83" s="115" t="s">
        <v>275</v>
      </c>
      <c r="G83" s="450"/>
      <c r="I83" s="445"/>
    </row>
    <row r="84" spans="1:9" s="443" customFormat="1" ht="15.95" customHeight="1">
      <c r="A84" s="463">
        <v>1</v>
      </c>
      <c r="B84" s="506">
        <v>3080</v>
      </c>
      <c r="C84" s="318" t="s">
        <v>302</v>
      </c>
      <c r="D84" s="116" t="s">
        <v>379</v>
      </c>
      <c r="E84" s="266">
        <v>25.15</v>
      </c>
      <c r="F84" s="115" t="s">
        <v>275</v>
      </c>
      <c r="G84" s="440"/>
      <c r="I84" s="445"/>
    </row>
    <row r="85" spans="1:9" s="443" customFormat="1" ht="15.95" customHeight="1">
      <c r="A85" s="463">
        <v>1</v>
      </c>
      <c r="B85" s="506">
        <v>20078</v>
      </c>
      <c r="C85" s="318" t="s">
        <v>303</v>
      </c>
      <c r="D85" s="116" t="s">
        <v>379</v>
      </c>
      <c r="E85" s="266">
        <v>26.58</v>
      </c>
      <c r="F85" s="115" t="s">
        <v>275</v>
      </c>
      <c r="G85" s="440"/>
      <c r="I85" s="445"/>
    </row>
    <row r="86" spans="1:9" s="443" customFormat="1" ht="15.95" customHeight="1">
      <c r="A86" s="463">
        <v>1</v>
      </c>
      <c r="B86" s="506">
        <v>1160</v>
      </c>
      <c r="C86" s="318" t="s">
        <v>305</v>
      </c>
      <c r="D86" s="114" t="s">
        <v>67</v>
      </c>
      <c r="E86" s="266">
        <v>8.27</v>
      </c>
      <c r="F86" s="115" t="s">
        <v>275</v>
      </c>
      <c r="G86" s="440"/>
      <c r="I86" s="445"/>
    </row>
    <row r="87" spans="1:9" s="443" customFormat="1" ht="15.95" customHeight="1">
      <c r="A87" s="463">
        <v>1</v>
      </c>
      <c r="B87" s="593">
        <v>4491</v>
      </c>
      <c r="C87" s="316" t="s">
        <v>307</v>
      </c>
      <c r="D87" s="114" t="s">
        <v>27</v>
      </c>
      <c r="E87" s="266">
        <v>5.26</v>
      </c>
      <c r="F87" s="115" t="s">
        <v>275</v>
      </c>
      <c r="G87" s="440"/>
      <c r="I87" s="445"/>
    </row>
    <row r="88" spans="1:9" s="443" customFormat="1" ht="15.95" customHeight="1">
      <c r="A88" s="463">
        <v>1</v>
      </c>
      <c r="B88" s="506">
        <v>4509</v>
      </c>
      <c r="C88" s="310" t="s">
        <v>159</v>
      </c>
      <c r="D88" s="114" t="s">
        <v>27</v>
      </c>
      <c r="E88" s="266">
        <v>2.7</v>
      </c>
      <c r="F88" s="115" t="s">
        <v>275</v>
      </c>
      <c r="G88" s="440"/>
      <c r="I88" s="445"/>
    </row>
    <row r="89" spans="1:9" s="443" customFormat="1" ht="15.95" customHeight="1">
      <c r="A89" s="463">
        <v>1</v>
      </c>
      <c r="B89" s="506">
        <v>6188</v>
      </c>
      <c r="C89" s="310" t="s">
        <v>520</v>
      </c>
      <c r="D89" s="114" t="s">
        <v>85</v>
      </c>
      <c r="E89" s="266">
        <v>15.41</v>
      </c>
      <c r="F89" s="115" t="s">
        <v>275</v>
      </c>
      <c r="G89" s="440"/>
      <c r="I89" s="445"/>
    </row>
    <row r="90" spans="1:9" s="443" customFormat="1" ht="29.25" customHeight="1">
      <c r="A90" s="463">
        <v>1</v>
      </c>
      <c r="B90" s="506">
        <v>4813</v>
      </c>
      <c r="C90" s="316" t="s">
        <v>308</v>
      </c>
      <c r="D90" s="114" t="s">
        <v>85</v>
      </c>
      <c r="E90" s="266">
        <v>235</v>
      </c>
      <c r="F90" s="115" t="s">
        <v>275</v>
      </c>
      <c r="G90" s="434"/>
      <c r="I90" s="445"/>
    </row>
    <row r="91" spans="1:9" s="443" customFormat="1" ht="15.95" customHeight="1">
      <c r="A91" s="463"/>
      <c r="B91" s="506">
        <v>26047</v>
      </c>
      <c r="C91" s="310" t="s">
        <v>398</v>
      </c>
      <c r="D91" s="116" t="s">
        <v>379</v>
      </c>
      <c r="E91" s="266">
        <v>61</v>
      </c>
      <c r="F91" s="115" t="s">
        <v>275</v>
      </c>
      <c r="G91" s="434"/>
      <c r="I91" s="445"/>
    </row>
    <row r="92" spans="1:9" s="489" customFormat="1" ht="15.95" customHeight="1">
      <c r="A92" s="487">
        <v>1</v>
      </c>
      <c r="B92" s="506"/>
      <c r="C92" s="507" t="s">
        <v>407</v>
      </c>
      <c r="D92" s="506" t="s">
        <v>379</v>
      </c>
      <c r="E92" s="500">
        <v>46</v>
      </c>
      <c r="F92" s="512" t="s">
        <v>313</v>
      </c>
      <c r="G92" s="488"/>
      <c r="H92" s="496"/>
      <c r="I92" s="490"/>
    </row>
    <row r="93" spans="1:9" s="443" customFormat="1" ht="15.95" customHeight="1">
      <c r="A93" s="463">
        <v>1</v>
      </c>
      <c r="B93" s="506">
        <v>300</v>
      </c>
      <c r="C93" s="316" t="s">
        <v>408</v>
      </c>
      <c r="D93" s="116" t="s">
        <v>379</v>
      </c>
      <c r="E93" s="266">
        <v>8.86</v>
      </c>
      <c r="F93" s="115" t="s">
        <v>275</v>
      </c>
      <c r="G93" s="440"/>
      <c r="H93" s="446"/>
      <c r="I93" s="445"/>
    </row>
    <row r="94" spans="1:9" s="443" customFormat="1" ht="15.95" customHeight="1">
      <c r="A94" s="463"/>
      <c r="B94" s="506">
        <v>318</v>
      </c>
      <c r="C94" s="316" t="s">
        <v>400</v>
      </c>
      <c r="D94" s="116" t="s">
        <v>379</v>
      </c>
      <c r="E94" s="266">
        <v>6.18</v>
      </c>
      <c r="F94" s="115" t="s">
        <v>275</v>
      </c>
      <c r="G94" s="440"/>
      <c r="H94" s="446"/>
      <c r="I94" s="445"/>
    </row>
    <row r="95" spans="1:9" s="443" customFormat="1" ht="15.95" customHeight="1">
      <c r="A95" s="463">
        <v>1</v>
      </c>
      <c r="B95" s="506">
        <v>9850</v>
      </c>
      <c r="C95" s="310" t="s">
        <v>396</v>
      </c>
      <c r="D95" s="114" t="s">
        <v>27</v>
      </c>
      <c r="E95" s="266">
        <v>299.08999999999997</v>
      </c>
      <c r="F95" s="115" t="s">
        <v>275</v>
      </c>
      <c r="G95" s="434"/>
      <c r="I95" s="445"/>
    </row>
    <row r="96" spans="1:9" s="489" customFormat="1" ht="15.95" customHeight="1">
      <c r="A96" s="487"/>
      <c r="B96" s="506"/>
      <c r="C96" s="507" t="s">
        <v>395</v>
      </c>
      <c r="D96" s="499" t="s">
        <v>27</v>
      </c>
      <c r="E96" s="500">
        <f>309/4</f>
        <v>77.25</v>
      </c>
      <c r="F96" s="115" t="s">
        <v>313</v>
      </c>
      <c r="G96" s="488" t="s">
        <v>644</v>
      </c>
      <c r="H96" s="497"/>
      <c r="I96" s="490"/>
    </row>
    <row r="97" spans="1:9" s="443" customFormat="1" ht="28.5" customHeight="1">
      <c r="A97" s="463">
        <v>1</v>
      </c>
      <c r="B97" s="506">
        <v>1143</v>
      </c>
      <c r="C97" s="316" t="s">
        <v>511</v>
      </c>
      <c r="D97" s="114" t="s">
        <v>67</v>
      </c>
      <c r="E97" s="266">
        <v>54</v>
      </c>
      <c r="F97" s="115" t="s">
        <v>275</v>
      </c>
      <c r="G97" s="440"/>
      <c r="I97" s="445"/>
    </row>
    <row r="98" spans="1:9" s="443" customFormat="1" ht="15.95" customHeight="1">
      <c r="A98" s="463">
        <v>1</v>
      </c>
      <c r="B98" s="506">
        <v>1158</v>
      </c>
      <c r="C98" s="316" t="s">
        <v>309</v>
      </c>
      <c r="D98" s="114" t="s">
        <v>67</v>
      </c>
      <c r="E98" s="266">
        <v>22.68</v>
      </c>
      <c r="F98" s="115" t="s">
        <v>275</v>
      </c>
      <c r="G98" s="440"/>
      <c r="I98" s="445"/>
    </row>
    <row r="99" spans="1:9" s="443" customFormat="1" ht="15.95" customHeight="1">
      <c r="A99" s="463">
        <v>1</v>
      </c>
      <c r="B99" s="506">
        <v>4778</v>
      </c>
      <c r="C99" s="319" t="s">
        <v>310</v>
      </c>
      <c r="D99" s="117" t="s">
        <v>67</v>
      </c>
      <c r="E99" s="267">
        <v>3.17</v>
      </c>
      <c r="F99" s="117" t="s">
        <v>275</v>
      </c>
      <c r="G99" s="450"/>
      <c r="H99" s="451"/>
      <c r="I99" s="445"/>
    </row>
    <row r="100" spans="1:9" s="443" customFormat="1" ht="15.95" customHeight="1">
      <c r="A100" s="443">
        <v>1</v>
      </c>
      <c r="B100" s="506">
        <v>4778</v>
      </c>
      <c r="C100" s="319" t="s">
        <v>311</v>
      </c>
      <c r="D100" s="117" t="s">
        <v>67</v>
      </c>
      <c r="E100" s="267">
        <f>E99</f>
        <v>3.17</v>
      </c>
      <c r="F100" s="117" t="s">
        <v>275</v>
      </c>
      <c r="G100" s="450"/>
      <c r="I100" s="445"/>
    </row>
    <row r="101" spans="1:9" s="443" customFormat="1" ht="15.95" customHeight="1">
      <c r="A101" s="443">
        <v>1</v>
      </c>
      <c r="B101" s="506">
        <v>1512</v>
      </c>
      <c r="C101" s="323" t="s">
        <v>312</v>
      </c>
      <c r="D101" s="116" t="s">
        <v>67</v>
      </c>
      <c r="E101" s="267">
        <v>13.73</v>
      </c>
      <c r="F101" s="116" t="s">
        <v>275</v>
      </c>
      <c r="G101" s="450"/>
      <c r="I101" s="445"/>
    </row>
    <row r="102" spans="1:9" s="443" customFormat="1" ht="30.75" customHeight="1">
      <c r="A102" s="443">
        <v>1</v>
      </c>
      <c r="B102" s="506">
        <v>1445</v>
      </c>
      <c r="C102" s="310" t="s">
        <v>304</v>
      </c>
      <c r="D102" s="117" t="s">
        <v>67</v>
      </c>
      <c r="E102" s="267">
        <v>3.24</v>
      </c>
      <c r="F102" s="117" t="s">
        <v>275</v>
      </c>
      <c r="G102" s="450"/>
      <c r="I102" s="445"/>
    </row>
    <row r="103" spans="1:9" s="443" customFormat="1" ht="29.25" customHeight="1">
      <c r="A103" s="465">
        <v>1</v>
      </c>
      <c r="B103" s="594" t="s">
        <v>692</v>
      </c>
      <c r="C103" s="310" t="s">
        <v>691</v>
      </c>
      <c r="D103" s="117" t="s">
        <v>379</v>
      </c>
      <c r="E103" s="505">
        <v>1032.8699999999999</v>
      </c>
      <c r="F103" s="117" t="s">
        <v>634</v>
      </c>
      <c r="G103" s="450"/>
      <c r="I103" s="445"/>
    </row>
    <row r="104" spans="1:9" s="443" customFormat="1" ht="15.95" customHeight="1">
      <c r="A104" s="465"/>
      <c r="B104" s="506">
        <v>2681</v>
      </c>
      <c r="C104" s="323" t="s">
        <v>484</v>
      </c>
      <c r="D104" s="116" t="s">
        <v>27</v>
      </c>
      <c r="E104" s="267">
        <v>6.79</v>
      </c>
      <c r="F104" s="116" t="s">
        <v>275</v>
      </c>
      <c r="G104" s="440"/>
      <c r="I104" s="445"/>
    </row>
    <row r="105" spans="1:9" s="443" customFormat="1" ht="15.95" customHeight="1">
      <c r="A105" s="465"/>
      <c r="B105" s="506">
        <v>2674</v>
      </c>
      <c r="C105" s="323" t="s">
        <v>485</v>
      </c>
      <c r="D105" s="116" t="s">
        <v>27</v>
      </c>
      <c r="E105" s="267">
        <v>1.88</v>
      </c>
      <c r="F105" s="116" t="s">
        <v>275</v>
      </c>
      <c r="G105" s="440"/>
      <c r="I105" s="445"/>
    </row>
    <row r="106" spans="1:9" s="443" customFormat="1" ht="15.95" customHeight="1">
      <c r="A106" s="465">
        <v>1</v>
      </c>
      <c r="B106" s="506">
        <v>12895</v>
      </c>
      <c r="C106" s="318" t="s">
        <v>314</v>
      </c>
      <c r="D106" s="116" t="s">
        <v>379</v>
      </c>
      <c r="E106" s="267">
        <v>8.83</v>
      </c>
      <c r="F106" s="116" t="s">
        <v>275</v>
      </c>
      <c r="G106" s="450"/>
      <c r="I106" s="445"/>
    </row>
    <row r="107" spans="1:9" s="443" customFormat="1" ht="15.95" customHeight="1">
      <c r="A107" s="465">
        <v>1</v>
      </c>
      <c r="B107" s="506">
        <v>12893</v>
      </c>
      <c r="C107" s="318" t="s">
        <v>315</v>
      </c>
      <c r="D107" s="116" t="s">
        <v>572</v>
      </c>
      <c r="E107" s="267">
        <v>25.05</v>
      </c>
      <c r="F107" s="116" t="s">
        <v>275</v>
      </c>
      <c r="G107" s="450"/>
      <c r="I107" s="445"/>
    </row>
    <row r="108" spans="1:9" s="443" customFormat="1" ht="15.95" customHeight="1">
      <c r="A108" s="465">
        <v>1</v>
      </c>
      <c r="B108" s="506">
        <v>12892</v>
      </c>
      <c r="C108" s="318" t="s">
        <v>316</v>
      </c>
      <c r="D108" s="116" t="s">
        <v>572</v>
      </c>
      <c r="E108" s="267">
        <v>6.7</v>
      </c>
      <c r="F108" s="116" t="s">
        <v>275</v>
      </c>
      <c r="G108" s="450"/>
      <c r="I108" s="445"/>
    </row>
    <row r="109" spans="1:9" s="443" customFormat="1" ht="15.95" customHeight="1">
      <c r="A109" s="465">
        <v>1</v>
      </c>
      <c r="B109" s="506"/>
      <c r="C109" s="318" t="s">
        <v>317</v>
      </c>
      <c r="D109" s="116" t="s">
        <v>379</v>
      </c>
      <c r="E109" s="267">
        <v>0.9</v>
      </c>
      <c r="F109" s="117" t="s">
        <v>313</v>
      </c>
      <c r="G109" s="450"/>
      <c r="I109" s="445"/>
    </row>
    <row r="110" spans="1:9" s="443" customFormat="1" ht="15.95" customHeight="1">
      <c r="A110" s="465">
        <v>1</v>
      </c>
      <c r="B110" s="506">
        <v>426</v>
      </c>
      <c r="C110" s="324" t="s">
        <v>318</v>
      </c>
      <c r="D110" s="116" t="s">
        <v>379</v>
      </c>
      <c r="E110" s="267">
        <v>2.58</v>
      </c>
      <c r="F110" s="116" t="s">
        <v>275</v>
      </c>
      <c r="G110" s="450"/>
      <c r="I110" s="445"/>
    </row>
    <row r="111" spans="1:9" s="443" customFormat="1" ht="15.95" customHeight="1">
      <c r="A111" s="465">
        <v>1</v>
      </c>
      <c r="B111" s="506">
        <v>3380</v>
      </c>
      <c r="C111" s="325" t="s">
        <v>448</v>
      </c>
      <c r="D111" s="116" t="s">
        <v>379</v>
      </c>
      <c r="E111" s="267">
        <v>44.38</v>
      </c>
      <c r="F111" s="116" t="s">
        <v>275</v>
      </c>
      <c r="G111" s="450"/>
      <c r="I111" s="445"/>
    </row>
    <row r="112" spans="1:9" s="443" customFormat="1" ht="15.95" customHeight="1">
      <c r="A112" s="465">
        <v>1</v>
      </c>
      <c r="B112" s="506">
        <v>1021</v>
      </c>
      <c r="C112" s="323" t="s">
        <v>319</v>
      </c>
      <c r="D112" s="116" t="s">
        <v>27</v>
      </c>
      <c r="E112" s="267">
        <v>3.45</v>
      </c>
      <c r="F112" s="116" t="s">
        <v>275</v>
      </c>
      <c r="G112" s="450"/>
      <c r="I112" s="445"/>
    </row>
    <row r="113" spans="1:9" s="489" customFormat="1" ht="51.95" customHeight="1">
      <c r="A113" s="504"/>
      <c r="B113" s="506">
        <v>13845</v>
      </c>
      <c r="C113" s="513" t="s">
        <v>497</v>
      </c>
      <c r="D113" s="506" t="s">
        <v>379</v>
      </c>
      <c r="E113" s="508">
        <v>96.28</v>
      </c>
      <c r="F113" s="506" t="s">
        <v>275</v>
      </c>
      <c r="G113" s="502"/>
      <c r="I113" s="490"/>
    </row>
    <row r="114" spans="1:9" s="489" customFormat="1" ht="51.95" customHeight="1">
      <c r="A114" s="504"/>
      <c r="B114" s="506">
        <v>13843</v>
      </c>
      <c r="C114" s="513" t="s">
        <v>498</v>
      </c>
      <c r="D114" s="506" t="s">
        <v>379</v>
      </c>
      <c r="E114" s="508">
        <v>134.03</v>
      </c>
      <c r="F114" s="506" t="s">
        <v>275</v>
      </c>
      <c r="G114" s="502"/>
      <c r="I114" s="490"/>
    </row>
    <row r="115" spans="1:9" s="443" customFormat="1" ht="30" customHeight="1">
      <c r="A115" s="465"/>
      <c r="B115" s="595">
        <v>851</v>
      </c>
      <c r="C115" s="454" t="s">
        <v>450</v>
      </c>
      <c r="D115" s="367" t="s">
        <v>451</v>
      </c>
      <c r="E115" s="422">
        <v>0.78</v>
      </c>
      <c r="F115" s="421" t="s">
        <v>275</v>
      </c>
      <c r="G115" s="450"/>
      <c r="I115" s="445"/>
    </row>
    <row r="116" spans="1:9" s="443" customFormat="1" ht="30" customHeight="1">
      <c r="A116" s="465"/>
      <c r="B116" s="506">
        <v>855</v>
      </c>
      <c r="C116" s="454" t="s">
        <v>452</v>
      </c>
      <c r="D116" s="367" t="s">
        <v>451</v>
      </c>
      <c r="E116" s="267">
        <v>1.1599999999999999</v>
      </c>
      <c r="F116" s="116" t="s">
        <v>275</v>
      </c>
      <c r="G116" s="450"/>
      <c r="I116" s="445"/>
    </row>
    <row r="117" spans="1:9" s="443" customFormat="1" ht="15.95" customHeight="1">
      <c r="A117" s="465"/>
      <c r="B117" s="506">
        <v>2389</v>
      </c>
      <c r="C117" s="454" t="s">
        <v>453</v>
      </c>
      <c r="D117" s="116" t="s">
        <v>379</v>
      </c>
      <c r="E117" s="267">
        <v>7.19</v>
      </c>
      <c r="F117" s="116" t="s">
        <v>275</v>
      </c>
      <c r="G117" s="450"/>
      <c r="I117" s="445"/>
    </row>
    <row r="118" spans="1:9" s="443" customFormat="1" ht="15.95" customHeight="1">
      <c r="A118" s="465"/>
      <c r="B118" s="506">
        <v>2392</v>
      </c>
      <c r="C118" s="454" t="s">
        <v>454</v>
      </c>
      <c r="D118" s="116" t="s">
        <v>379</v>
      </c>
      <c r="E118" s="267">
        <v>49.14</v>
      </c>
      <c r="F118" s="116" t="s">
        <v>275</v>
      </c>
      <c r="G118" s="450"/>
      <c r="I118" s="445"/>
    </row>
    <row r="119" spans="1:9" s="443" customFormat="1" ht="15.95" customHeight="1">
      <c r="A119" s="465"/>
      <c r="B119" s="506">
        <v>20012</v>
      </c>
      <c r="C119" s="454" t="s">
        <v>455</v>
      </c>
      <c r="D119" s="116" t="s">
        <v>379</v>
      </c>
      <c r="E119" s="267">
        <v>12.97</v>
      </c>
      <c r="F119" s="116" t="s">
        <v>275</v>
      </c>
      <c r="G119" s="450"/>
      <c r="I119" s="445"/>
    </row>
    <row r="120" spans="1:9" s="489" customFormat="1" ht="15.95" customHeight="1">
      <c r="A120" s="504">
        <v>1</v>
      </c>
      <c r="B120" s="594" t="s">
        <v>635</v>
      </c>
      <c r="C120" s="507" t="s">
        <v>637</v>
      </c>
      <c r="D120" s="506" t="s">
        <v>379</v>
      </c>
      <c r="E120" s="508">
        <v>39.020000000000003</v>
      </c>
      <c r="F120" s="506" t="s">
        <v>634</v>
      </c>
      <c r="G120" s="502"/>
      <c r="H120" s="497"/>
      <c r="I120" s="490"/>
    </row>
    <row r="121" spans="1:9" s="489" customFormat="1" ht="15.95" customHeight="1">
      <c r="A121" s="504">
        <v>1</v>
      </c>
      <c r="B121" s="594" t="s">
        <v>636</v>
      </c>
      <c r="C121" s="507" t="s">
        <v>638</v>
      </c>
      <c r="D121" s="506" t="s">
        <v>379</v>
      </c>
      <c r="E121" s="508">
        <v>137</v>
      </c>
      <c r="F121" s="506" t="s">
        <v>634</v>
      </c>
      <c r="G121" s="502"/>
      <c r="H121" s="497"/>
      <c r="I121" s="490"/>
    </row>
    <row r="122" spans="1:9" s="443" customFormat="1" ht="15.95" customHeight="1">
      <c r="A122" s="465"/>
      <c r="B122" s="506">
        <v>1879</v>
      </c>
      <c r="C122" s="310" t="s">
        <v>321</v>
      </c>
      <c r="D122" s="116" t="s">
        <v>379</v>
      </c>
      <c r="E122" s="267">
        <v>2.4300000000000002</v>
      </c>
      <c r="F122" s="116" t="s">
        <v>275</v>
      </c>
      <c r="G122" s="450"/>
      <c r="H122" s="452"/>
      <c r="I122" s="445"/>
    </row>
    <row r="123" spans="1:9" s="443" customFormat="1" ht="15.95" customHeight="1">
      <c r="A123" s="465"/>
      <c r="B123" s="506">
        <v>12033</v>
      </c>
      <c r="C123" s="310" t="s">
        <v>321</v>
      </c>
      <c r="D123" s="116" t="s">
        <v>379</v>
      </c>
      <c r="E123" s="267">
        <v>9.89</v>
      </c>
      <c r="F123" s="116" t="s">
        <v>275</v>
      </c>
      <c r="G123" s="450"/>
      <c r="H123" s="452"/>
      <c r="I123" s="445"/>
    </row>
    <row r="124" spans="1:9" s="489" customFormat="1" ht="15.95" customHeight="1">
      <c r="B124" s="506" t="s">
        <v>322</v>
      </c>
      <c r="C124" s="507" t="s">
        <v>483</v>
      </c>
      <c r="D124" s="506" t="s">
        <v>379</v>
      </c>
      <c r="E124" s="508">
        <f>256.76+342.34</f>
        <v>599.1</v>
      </c>
      <c r="F124" s="506" t="s">
        <v>313</v>
      </c>
      <c r="G124" s="502"/>
      <c r="H124" s="503"/>
      <c r="I124" s="490"/>
    </row>
    <row r="125" spans="1:9" s="443" customFormat="1" ht="15.95" customHeight="1">
      <c r="B125" s="506">
        <v>3879</v>
      </c>
      <c r="C125" s="310" t="s">
        <v>433</v>
      </c>
      <c r="D125" s="116" t="s">
        <v>379</v>
      </c>
      <c r="E125" s="267">
        <v>7.47</v>
      </c>
      <c r="F125" s="116" t="s">
        <v>275</v>
      </c>
      <c r="G125" s="450"/>
      <c r="H125" s="452"/>
      <c r="I125" s="445"/>
    </row>
    <row r="126" spans="1:9" s="443" customFormat="1" ht="15.95" customHeight="1">
      <c r="B126" s="506">
        <v>11678</v>
      </c>
      <c r="C126" s="310" t="s">
        <v>129</v>
      </c>
      <c r="D126" s="116" t="s">
        <v>379</v>
      </c>
      <c r="E126" s="267">
        <v>60.68</v>
      </c>
      <c r="F126" s="117" t="s">
        <v>275</v>
      </c>
      <c r="G126" s="450"/>
      <c r="H126" s="452"/>
      <c r="I126" s="445"/>
    </row>
    <row r="127" spans="1:9" s="443" customFormat="1" ht="15.95" customHeight="1">
      <c r="B127" s="506">
        <v>1798</v>
      </c>
      <c r="C127" s="310" t="s">
        <v>323</v>
      </c>
      <c r="D127" s="116" t="s">
        <v>379</v>
      </c>
      <c r="E127" s="267">
        <v>49.65</v>
      </c>
      <c r="F127" s="116" t="s">
        <v>275</v>
      </c>
      <c r="G127" s="450"/>
      <c r="H127" s="452"/>
      <c r="I127" s="445"/>
    </row>
    <row r="128" spans="1:9" s="443" customFormat="1" ht="15.95" customHeight="1">
      <c r="B128" s="506">
        <v>113</v>
      </c>
      <c r="C128" s="310" t="s">
        <v>689</v>
      </c>
      <c r="D128" s="116" t="s">
        <v>379</v>
      </c>
      <c r="E128" s="267">
        <v>8.6999999999999993</v>
      </c>
      <c r="F128" s="116" t="s">
        <v>275</v>
      </c>
      <c r="G128" s="450"/>
      <c r="H128" s="452"/>
      <c r="I128" s="445"/>
    </row>
    <row r="129" spans="1:10" s="443" customFormat="1" ht="15.95" customHeight="1">
      <c r="B129" s="506">
        <v>3912</v>
      </c>
      <c r="C129" s="323" t="s">
        <v>132</v>
      </c>
      <c r="D129" s="116" t="s">
        <v>379</v>
      </c>
      <c r="E129" s="267">
        <v>13.68</v>
      </c>
      <c r="F129" s="116" t="s">
        <v>275</v>
      </c>
      <c r="G129" s="450"/>
      <c r="H129" s="452"/>
      <c r="I129" s="445"/>
    </row>
    <row r="130" spans="1:10" s="443" customFormat="1" ht="15.95" customHeight="1">
      <c r="B130" s="506">
        <v>3508</v>
      </c>
      <c r="C130" s="320" t="s">
        <v>432</v>
      </c>
      <c r="D130" s="116" t="s">
        <v>379</v>
      </c>
      <c r="E130" s="267">
        <v>16.899999999999999</v>
      </c>
      <c r="F130" s="116" t="s">
        <v>275</v>
      </c>
      <c r="G130" s="450"/>
      <c r="H130" s="452"/>
      <c r="I130" s="445"/>
    </row>
    <row r="131" spans="1:10" s="443" customFormat="1" ht="12.75" customHeight="1">
      <c r="B131" s="506">
        <v>4222</v>
      </c>
      <c r="C131" s="323" t="s">
        <v>524</v>
      </c>
      <c r="D131" s="114" t="s">
        <v>164</v>
      </c>
      <c r="E131" s="267">
        <v>2.78</v>
      </c>
      <c r="F131" s="116" t="s">
        <v>275</v>
      </c>
      <c r="G131" s="450"/>
      <c r="H131" s="452"/>
      <c r="I131" s="445"/>
    </row>
    <row r="132" spans="1:10" s="443" customFormat="1" ht="28.5" customHeight="1">
      <c r="B132" s="506">
        <v>550</v>
      </c>
      <c r="C132" s="346" t="s">
        <v>466</v>
      </c>
      <c r="D132" s="168" t="s">
        <v>88</v>
      </c>
      <c r="E132" s="267">
        <v>4.0599999999999996</v>
      </c>
      <c r="F132" s="116" t="s">
        <v>275</v>
      </c>
      <c r="G132" s="450"/>
      <c r="H132" s="452"/>
      <c r="I132" s="445"/>
    </row>
    <row r="133" spans="1:10" s="443" customFormat="1" ht="15.95" customHeight="1">
      <c r="B133" s="506">
        <v>557</v>
      </c>
      <c r="C133" s="454" t="s">
        <v>467</v>
      </c>
      <c r="D133" s="367" t="s">
        <v>27</v>
      </c>
      <c r="E133" s="267">
        <v>15.39</v>
      </c>
      <c r="F133" s="116" t="s">
        <v>275</v>
      </c>
      <c r="G133" s="450"/>
      <c r="H133" s="452"/>
      <c r="I133" s="445"/>
    </row>
    <row r="134" spans="1:10" s="443" customFormat="1" ht="27.75" customHeight="1">
      <c r="B134" s="506">
        <v>5089</v>
      </c>
      <c r="C134" s="454" t="s">
        <v>468</v>
      </c>
      <c r="D134" s="116" t="s">
        <v>379</v>
      </c>
      <c r="E134" s="267">
        <v>21.72</v>
      </c>
      <c r="F134" s="116" t="s">
        <v>275</v>
      </c>
      <c r="G134" s="450"/>
      <c r="H134" s="452"/>
      <c r="I134" s="445"/>
    </row>
    <row r="135" spans="1:10" s="443" customFormat="1" ht="27.75" customHeight="1">
      <c r="B135" s="506">
        <v>10932</v>
      </c>
      <c r="C135" s="454" t="s">
        <v>469</v>
      </c>
      <c r="D135" s="367" t="s">
        <v>85</v>
      </c>
      <c r="E135" s="267">
        <v>49.09</v>
      </c>
      <c r="F135" s="116" t="s">
        <v>275</v>
      </c>
      <c r="G135" s="450"/>
      <c r="H135" s="452"/>
      <c r="I135" s="445"/>
    </row>
    <row r="136" spans="1:10" s="443" customFormat="1" ht="15.95" customHeight="1">
      <c r="A136" s="452"/>
      <c r="B136" s="506">
        <v>4229</v>
      </c>
      <c r="C136" s="323" t="s">
        <v>324</v>
      </c>
      <c r="D136" s="116" t="s">
        <v>169</v>
      </c>
      <c r="E136" s="267">
        <v>16.77</v>
      </c>
      <c r="F136" s="116" t="s">
        <v>275</v>
      </c>
      <c r="G136" s="453"/>
      <c r="H136" s="118"/>
      <c r="I136" s="445"/>
    </row>
    <row r="137" spans="1:10" s="443" customFormat="1" ht="15.95" customHeight="1">
      <c r="B137" s="506">
        <v>73595</v>
      </c>
      <c r="C137" s="319" t="s">
        <v>325</v>
      </c>
      <c r="D137" s="117" t="s">
        <v>27</v>
      </c>
      <c r="E137" s="267">
        <v>0.08</v>
      </c>
      <c r="F137" s="117" t="s">
        <v>275</v>
      </c>
      <c r="G137" s="453"/>
      <c r="H137" s="452"/>
      <c r="I137" s="444"/>
      <c r="J137" s="444"/>
    </row>
    <row r="138" spans="1:10" s="443" customFormat="1" ht="15.95" customHeight="1">
      <c r="B138" s="506">
        <v>73596</v>
      </c>
      <c r="C138" s="319" t="s">
        <v>641</v>
      </c>
      <c r="D138" s="117" t="s">
        <v>27</v>
      </c>
      <c r="E138" s="267">
        <v>0.02</v>
      </c>
      <c r="F138" s="117" t="s">
        <v>275</v>
      </c>
      <c r="G138" s="453"/>
      <c r="H138" s="452"/>
      <c r="I138" s="444"/>
      <c r="J138" s="444"/>
    </row>
    <row r="139" spans="1:10" s="443" customFormat="1" ht="51.75" customHeight="1">
      <c r="B139" s="506">
        <v>10417</v>
      </c>
      <c r="C139" s="322" t="s">
        <v>326</v>
      </c>
      <c r="D139" s="116" t="s">
        <v>379</v>
      </c>
      <c r="E139" s="267">
        <v>57.24</v>
      </c>
      <c r="F139" s="117" t="s">
        <v>275</v>
      </c>
      <c r="G139" s="450"/>
      <c r="H139" s="452"/>
      <c r="I139" s="444"/>
      <c r="J139" s="444"/>
    </row>
    <row r="140" spans="1:10" s="489" customFormat="1" ht="52.5" customHeight="1">
      <c r="B140" s="506"/>
      <c r="C140" s="322" t="s">
        <v>405</v>
      </c>
      <c r="D140" s="117" t="s">
        <v>379</v>
      </c>
      <c r="E140" s="267">
        <v>412</v>
      </c>
      <c r="F140" s="117" t="s">
        <v>313</v>
      </c>
      <c r="G140" s="502"/>
      <c r="H140" s="503"/>
      <c r="I140" s="490"/>
    </row>
    <row r="141" spans="1:10" s="489" customFormat="1" ht="55.5" customHeight="1">
      <c r="B141" s="506"/>
      <c r="C141" s="322" t="s">
        <v>487</v>
      </c>
      <c r="D141" s="117" t="s">
        <v>379</v>
      </c>
      <c r="E141" s="267">
        <v>740</v>
      </c>
      <c r="F141" s="117" t="s">
        <v>313</v>
      </c>
      <c r="G141" s="502"/>
      <c r="H141" s="503"/>
      <c r="I141" s="490"/>
    </row>
    <row r="142" spans="1:10" s="443" customFormat="1" ht="15.95" customHeight="1">
      <c r="B142" s="506">
        <v>5049</v>
      </c>
      <c r="C142" s="326" t="s">
        <v>178</v>
      </c>
      <c r="D142" s="116" t="s">
        <v>379</v>
      </c>
      <c r="E142" s="267">
        <v>297.51</v>
      </c>
      <c r="F142" s="116" t="s">
        <v>275</v>
      </c>
      <c r="G142" s="440"/>
      <c r="H142" s="384"/>
      <c r="I142" s="445"/>
    </row>
    <row r="143" spans="1:10" s="443" customFormat="1" ht="12.75" customHeight="1">
      <c r="B143" s="506">
        <v>3398</v>
      </c>
      <c r="C143" s="326" t="s">
        <v>179</v>
      </c>
      <c r="D143" s="116" t="s">
        <v>379</v>
      </c>
      <c r="E143" s="267">
        <v>9.41</v>
      </c>
      <c r="F143" s="116" t="s">
        <v>275</v>
      </c>
      <c r="G143" s="440"/>
      <c r="H143" s="384"/>
      <c r="I143" s="445"/>
    </row>
    <row r="144" spans="1:10" s="443" customFormat="1" ht="27.75" customHeight="1">
      <c r="B144" s="506">
        <v>1094</v>
      </c>
      <c r="C144" s="326" t="s">
        <v>486</v>
      </c>
      <c r="D144" s="116" t="s">
        <v>379</v>
      </c>
      <c r="E144" s="267">
        <v>7.99</v>
      </c>
      <c r="F144" s="116" t="s">
        <v>275</v>
      </c>
      <c r="G144" s="440"/>
      <c r="I144" s="445"/>
    </row>
    <row r="145" spans="2:17" s="443" customFormat="1" ht="15.95" customHeight="1">
      <c r="B145" s="506">
        <v>4336</v>
      </c>
      <c r="C145" s="326" t="s">
        <v>180</v>
      </c>
      <c r="D145" s="116" t="s">
        <v>379</v>
      </c>
      <c r="E145" s="267">
        <v>1.52</v>
      </c>
      <c r="F145" s="116" t="s">
        <v>275</v>
      </c>
      <c r="G145" s="440"/>
      <c r="I145" s="445"/>
    </row>
    <row r="146" spans="2:17" s="101" customFormat="1" ht="15.95" customHeight="1">
      <c r="B146" s="506">
        <v>25002</v>
      </c>
      <c r="C146" s="326" t="s">
        <v>177</v>
      </c>
      <c r="D146" s="116" t="s">
        <v>169</v>
      </c>
      <c r="E146" s="267">
        <v>15.04</v>
      </c>
      <c r="F146" s="116" t="s">
        <v>275</v>
      </c>
      <c r="G146" s="440"/>
      <c r="H146" s="384"/>
      <c r="I146" s="385"/>
      <c r="J146" s="386"/>
      <c r="K146" s="387"/>
      <c r="L146" s="387"/>
      <c r="M146" s="387"/>
      <c r="N146" s="387"/>
      <c r="O146" s="388"/>
      <c r="P146" s="388"/>
      <c r="Q146" s="388"/>
    </row>
    <row r="147" spans="2:17" s="101" customFormat="1" ht="15.95" customHeight="1">
      <c r="B147" s="506">
        <v>868</v>
      </c>
      <c r="C147" s="326" t="s">
        <v>444</v>
      </c>
      <c r="D147" s="116" t="s">
        <v>27</v>
      </c>
      <c r="E147" s="267">
        <v>11.8</v>
      </c>
      <c r="F147" s="116" t="s">
        <v>275</v>
      </c>
      <c r="G147" s="433"/>
      <c r="H147" s="384"/>
      <c r="I147" s="390"/>
      <c r="J147" s="386"/>
      <c r="K147" s="387"/>
      <c r="L147" s="387"/>
      <c r="M147" s="387"/>
      <c r="N147" s="387"/>
      <c r="O147" s="388"/>
      <c r="P147" s="388"/>
      <c r="Q147" s="388"/>
    </row>
    <row r="148" spans="2:17" s="443" customFormat="1" ht="12.75" customHeight="1">
      <c r="B148" s="596" t="s">
        <v>633</v>
      </c>
      <c r="C148" s="515" t="s">
        <v>440</v>
      </c>
      <c r="D148" s="516" t="s">
        <v>379</v>
      </c>
      <c r="E148" s="508">
        <v>20.16</v>
      </c>
      <c r="F148" s="517" t="s">
        <v>643</v>
      </c>
      <c r="G148" s="434"/>
      <c r="H148" s="389"/>
      <c r="I148" s="445"/>
    </row>
    <row r="149" spans="2:17" s="443" customFormat="1" ht="25.5" customHeight="1">
      <c r="B149" s="506">
        <v>21011</v>
      </c>
      <c r="C149" s="327" t="s">
        <v>191</v>
      </c>
      <c r="D149" s="116" t="s">
        <v>27</v>
      </c>
      <c r="E149" s="267">
        <v>19.63</v>
      </c>
      <c r="F149" s="116" t="s">
        <v>275</v>
      </c>
      <c r="G149" s="440"/>
      <c r="H149" s="389"/>
      <c r="I149" s="445"/>
    </row>
    <row r="150" spans="2:17" s="443" customFormat="1" ht="31.5" customHeight="1">
      <c r="B150" s="506">
        <v>13629</v>
      </c>
      <c r="C150" s="328" t="s">
        <v>89</v>
      </c>
      <c r="D150" s="116" t="s">
        <v>85</v>
      </c>
      <c r="E150" s="267">
        <v>225.6</v>
      </c>
      <c r="F150" s="116" t="s">
        <v>275</v>
      </c>
      <c r="G150" s="440"/>
      <c r="H150" s="389"/>
      <c r="I150" s="445"/>
    </row>
    <row r="151" spans="2:17" s="443" customFormat="1" ht="15.95" customHeight="1">
      <c r="B151" s="506">
        <v>418</v>
      </c>
      <c r="C151" s="326" t="s">
        <v>181</v>
      </c>
      <c r="D151" s="116" t="s">
        <v>379</v>
      </c>
      <c r="E151" s="267">
        <v>3.2</v>
      </c>
      <c r="F151" s="116" t="s">
        <v>275</v>
      </c>
      <c r="G151" s="440"/>
      <c r="H151" s="389"/>
      <c r="I151" s="445"/>
    </row>
    <row r="152" spans="2:17" s="443" customFormat="1" ht="15.95" customHeight="1">
      <c r="B152" s="506">
        <v>417</v>
      </c>
      <c r="C152" s="326" t="s">
        <v>181</v>
      </c>
      <c r="D152" s="116" t="s">
        <v>379</v>
      </c>
      <c r="E152" s="267">
        <v>2.23</v>
      </c>
      <c r="F152" s="116" t="s">
        <v>275</v>
      </c>
      <c r="G152" s="440"/>
      <c r="H152" s="389"/>
      <c r="I152" s="445"/>
    </row>
    <row r="153" spans="2:17" ht="12.75" customHeight="1">
      <c r="B153" s="506">
        <v>1444</v>
      </c>
      <c r="C153" s="310" t="s">
        <v>328</v>
      </c>
      <c r="D153" s="117" t="s">
        <v>67</v>
      </c>
      <c r="E153" s="267">
        <v>2.89</v>
      </c>
      <c r="F153" s="117" t="s">
        <v>275</v>
      </c>
      <c r="G153" s="440"/>
      <c r="H153" s="389"/>
    </row>
  </sheetData>
  <autoFilter ref="A10:G153"/>
  <mergeCells count="2">
    <mergeCell ref="B8:F8"/>
    <mergeCell ref="B2:F5"/>
  </mergeCells>
  <pageMargins left="0.51181102362204722" right="0.51181102362204722" top="0.78740157480314965" bottom="0.78740157480314965" header="0.51181102362204722" footer="0.51181102362204722"/>
  <pageSetup paperSize="9" scale="96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B1:E56"/>
  <sheetViews>
    <sheetView view="pageBreakPreview" zoomScale="110" zoomScaleNormal="100" zoomScaleSheetLayoutView="110" workbookViewId="0">
      <selection activeCell="C9" sqref="C9"/>
    </sheetView>
  </sheetViews>
  <sheetFormatPr defaultColWidth="12.7109375" defaultRowHeight="15"/>
  <cols>
    <col min="1" max="1" width="1.7109375" style="242" customWidth="1"/>
    <col min="2" max="2" width="8.28515625" style="242" customWidth="1"/>
    <col min="3" max="3" width="59.7109375" style="242" customWidth="1"/>
    <col min="4" max="4" width="21.7109375" style="242" customWidth="1"/>
    <col min="5" max="5" width="2.85546875" style="242" customWidth="1"/>
    <col min="6" max="16384" width="12.7109375" style="242"/>
  </cols>
  <sheetData>
    <row r="1" spans="2:5" ht="7.5" customHeight="1" thickBot="1"/>
    <row r="2" spans="2:5" s="243" customFormat="1" ht="22.5" customHeight="1" thickBot="1">
      <c r="B2" s="775" t="s">
        <v>55</v>
      </c>
      <c r="C2" s="776"/>
      <c r="D2" s="777"/>
    </row>
    <row r="3" spans="2:5" ht="32.25" customHeight="1" thickBot="1">
      <c r="B3" s="778" t="s">
        <v>510</v>
      </c>
      <c r="C3" s="779"/>
      <c r="D3" s="780"/>
    </row>
    <row r="4" spans="2:5" ht="15.75" thickBot="1">
      <c r="B4" s="781" t="s">
        <v>354</v>
      </c>
      <c r="C4" s="782"/>
      <c r="D4" s="783"/>
    </row>
    <row r="5" spans="2:5">
      <c r="B5" s="244"/>
      <c r="C5" s="245"/>
      <c r="D5" s="246"/>
    </row>
    <row r="6" spans="2:5">
      <c r="B6" s="244" t="s">
        <v>196</v>
      </c>
      <c r="C6" s="247" t="s">
        <v>197</v>
      </c>
      <c r="D6" s="246"/>
      <c r="E6" s="589">
        <f>BDI!C37</f>
        <v>24.5</v>
      </c>
    </row>
    <row r="7" spans="2:5">
      <c r="B7" s="244" t="s">
        <v>198</v>
      </c>
      <c r="C7" s="248" t="s">
        <v>199</v>
      </c>
      <c r="D7" s="249">
        <v>37511</v>
      </c>
    </row>
    <row r="8" spans="2:5">
      <c r="B8" s="244" t="s">
        <v>200</v>
      </c>
      <c r="C8" s="248" t="s">
        <v>201</v>
      </c>
      <c r="D8" s="246">
        <v>36</v>
      </c>
    </row>
    <row r="9" spans="2:5">
      <c r="B9" s="244" t="s">
        <v>202</v>
      </c>
      <c r="C9" s="248" t="s">
        <v>203</v>
      </c>
      <c r="D9" s="250">
        <v>0.4</v>
      </c>
    </row>
    <row r="10" spans="2:5">
      <c r="B10" s="244" t="s">
        <v>204</v>
      </c>
      <c r="C10" s="248" t="s">
        <v>205</v>
      </c>
      <c r="D10" s="246">
        <f>(D7-(D9*D7))/D8</f>
        <v>625.17999999999995</v>
      </c>
    </row>
    <row r="11" spans="2:5">
      <c r="B11" s="244"/>
      <c r="C11" s="248"/>
      <c r="D11" s="246"/>
    </row>
    <row r="12" spans="2:5">
      <c r="B12" s="244" t="s">
        <v>206</v>
      </c>
      <c r="C12" s="247" t="s">
        <v>207</v>
      </c>
      <c r="D12" s="246"/>
    </row>
    <row r="13" spans="2:5">
      <c r="B13" s="244" t="s">
        <v>208</v>
      </c>
      <c r="C13" s="248" t="s">
        <v>209</v>
      </c>
      <c r="D13" s="250">
        <v>0.05</v>
      </c>
    </row>
    <row r="14" spans="2:5">
      <c r="B14" s="244" t="s">
        <v>210</v>
      </c>
      <c r="C14" s="251" t="s">
        <v>211</v>
      </c>
      <c r="D14" s="246">
        <f>D13*D10</f>
        <v>31.26</v>
      </c>
    </row>
    <row r="15" spans="2:5">
      <c r="B15" s="244"/>
      <c r="C15" s="247"/>
      <c r="D15" s="246"/>
    </row>
    <row r="16" spans="2:5">
      <c r="B16" s="244" t="s">
        <v>212</v>
      </c>
      <c r="C16" s="247" t="s">
        <v>213</v>
      </c>
      <c r="D16" s="246"/>
    </row>
    <row r="17" spans="2:4">
      <c r="B17" s="244" t="s">
        <v>214</v>
      </c>
      <c r="C17" s="248" t="s">
        <v>215</v>
      </c>
      <c r="D17" s="250">
        <v>1</v>
      </c>
    </row>
    <row r="18" spans="2:4">
      <c r="B18" s="244" t="s">
        <v>216</v>
      </c>
      <c r="C18" s="248" t="s">
        <v>217</v>
      </c>
      <c r="D18" s="246">
        <f>D17*D10</f>
        <v>625.17999999999995</v>
      </c>
    </row>
    <row r="19" spans="2:4">
      <c r="B19" s="244" t="s">
        <v>195</v>
      </c>
      <c r="C19" s="248" t="s">
        <v>195</v>
      </c>
      <c r="D19" s="249" t="s">
        <v>195</v>
      </c>
    </row>
    <row r="20" spans="2:4">
      <c r="B20" s="244" t="s">
        <v>218</v>
      </c>
      <c r="C20" s="247" t="s">
        <v>219</v>
      </c>
      <c r="D20" s="246"/>
    </row>
    <row r="21" spans="2:4">
      <c r="B21" s="244" t="s">
        <v>220</v>
      </c>
      <c r="C21" s="248" t="s">
        <v>221</v>
      </c>
      <c r="D21" s="246">
        <v>3000</v>
      </c>
    </row>
    <row r="22" spans="2:4">
      <c r="B22" s="244" t="s">
        <v>222</v>
      </c>
      <c r="C22" s="248" t="s">
        <v>223</v>
      </c>
      <c r="D22" s="246">
        <v>2.94</v>
      </c>
    </row>
    <row r="23" spans="2:4">
      <c r="B23" s="244" t="s">
        <v>224</v>
      </c>
      <c r="C23" s="248" t="s">
        <v>225</v>
      </c>
      <c r="D23" s="246">
        <v>10</v>
      </c>
    </row>
    <row r="24" spans="2:4">
      <c r="B24" s="244" t="s">
        <v>226</v>
      </c>
      <c r="C24" s="248" t="s">
        <v>227</v>
      </c>
      <c r="D24" s="246">
        <f>(D21/D23)*D22</f>
        <v>882</v>
      </c>
    </row>
    <row r="25" spans="2:4">
      <c r="B25" s="244"/>
      <c r="C25" s="248"/>
      <c r="D25" s="246"/>
    </row>
    <row r="26" spans="2:4">
      <c r="B26" s="244" t="s">
        <v>228</v>
      </c>
      <c r="C26" s="247" t="s">
        <v>229</v>
      </c>
      <c r="D26" s="246"/>
    </row>
    <row r="27" spans="2:4">
      <c r="B27" s="244" t="s">
        <v>230</v>
      </c>
      <c r="C27" s="248" t="s">
        <v>231</v>
      </c>
      <c r="D27" s="246">
        <f>D21*12</f>
        <v>36000</v>
      </c>
    </row>
    <row r="28" spans="2:4">
      <c r="B28" s="244" t="s">
        <v>232</v>
      </c>
      <c r="C28" s="248" t="s">
        <v>233</v>
      </c>
      <c r="D28" s="246">
        <v>5000</v>
      </c>
    </row>
    <row r="29" spans="2:4">
      <c r="B29" s="244" t="s">
        <v>234</v>
      </c>
      <c r="C29" s="248" t="s">
        <v>235</v>
      </c>
      <c r="D29" s="246">
        <v>24.93</v>
      </c>
    </row>
    <row r="30" spans="2:4">
      <c r="B30" s="244" t="s">
        <v>236</v>
      </c>
      <c r="C30" s="248" t="s">
        <v>237</v>
      </c>
      <c r="D30" s="246">
        <v>3.5</v>
      </c>
    </row>
    <row r="31" spans="2:4">
      <c r="B31" s="244" t="s">
        <v>238</v>
      </c>
      <c r="C31" s="248" t="s">
        <v>239</v>
      </c>
      <c r="D31" s="246">
        <v>365</v>
      </c>
    </row>
    <row r="32" spans="2:4">
      <c r="B32" s="244" t="s">
        <v>240</v>
      </c>
      <c r="C32" s="248" t="s">
        <v>241</v>
      </c>
      <c r="D32" s="252">
        <f>(D27*D29*D30*30)/(D28*D31)</f>
        <v>51.64</v>
      </c>
    </row>
    <row r="33" spans="2:4">
      <c r="B33" s="244"/>
      <c r="C33" s="248"/>
      <c r="D33" s="253"/>
    </row>
    <row r="34" spans="2:4">
      <c r="B34" s="244" t="s">
        <v>242</v>
      </c>
      <c r="C34" s="247" t="s">
        <v>243</v>
      </c>
      <c r="D34" s="253"/>
    </row>
    <row r="35" spans="2:4">
      <c r="B35" s="244" t="s">
        <v>244</v>
      </c>
      <c r="C35" s="248" t="s">
        <v>231</v>
      </c>
      <c r="D35" s="246">
        <f>D21*12</f>
        <v>36000</v>
      </c>
    </row>
    <row r="36" spans="2:4">
      <c r="B36" s="244" t="s">
        <v>245</v>
      </c>
      <c r="C36" s="248" t="s">
        <v>246</v>
      </c>
      <c r="D36" s="246">
        <v>45000</v>
      </c>
    </row>
    <row r="37" spans="2:4">
      <c r="B37" s="244" t="s">
        <v>247</v>
      </c>
      <c r="C37" s="248" t="s">
        <v>248</v>
      </c>
      <c r="D37" s="246">
        <v>5</v>
      </c>
    </row>
    <row r="38" spans="2:4">
      <c r="B38" s="244" t="s">
        <v>249</v>
      </c>
      <c r="C38" s="248" t="s">
        <v>250</v>
      </c>
      <c r="D38" s="249">
        <v>358.3</v>
      </c>
    </row>
    <row r="39" spans="2:4">
      <c r="B39" s="244" t="s">
        <v>251</v>
      </c>
      <c r="C39" s="248" t="s">
        <v>252</v>
      </c>
      <c r="D39" s="246">
        <v>365</v>
      </c>
    </row>
    <row r="40" spans="2:4">
      <c r="B40" s="244" t="s">
        <v>253</v>
      </c>
      <c r="C40" s="248" t="s">
        <v>254</v>
      </c>
      <c r="D40" s="246">
        <f>(D35*D37*D38*30)/(D36*D39)</f>
        <v>117.8</v>
      </c>
    </row>
    <row r="41" spans="2:4">
      <c r="B41" s="244"/>
      <c r="C41" s="248"/>
      <c r="D41" s="246"/>
    </row>
    <row r="42" spans="2:4">
      <c r="B42" s="244" t="s">
        <v>255</v>
      </c>
      <c r="C42" s="247" t="s">
        <v>100</v>
      </c>
      <c r="D42" s="246"/>
    </row>
    <row r="43" spans="2:4">
      <c r="B43" s="244" t="s">
        <v>256</v>
      </c>
      <c r="C43" s="248" t="s">
        <v>257</v>
      </c>
      <c r="D43" s="246">
        <v>2470.7199999999998</v>
      </c>
    </row>
    <row r="44" spans="2:4">
      <c r="B44" s="244"/>
      <c r="C44" s="248"/>
      <c r="D44" s="246"/>
    </row>
    <row r="45" spans="2:4">
      <c r="B45" s="244" t="s">
        <v>258</v>
      </c>
      <c r="C45" s="247" t="s">
        <v>259</v>
      </c>
      <c r="D45" s="252" t="s">
        <v>195</v>
      </c>
    </row>
    <row r="46" spans="2:4">
      <c r="B46" s="244"/>
      <c r="C46" s="251" t="s">
        <v>260</v>
      </c>
      <c r="D46" s="254">
        <f>D10+D14+D18+D24+D32+D40</f>
        <v>2333.06</v>
      </c>
    </row>
    <row r="47" spans="2:4">
      <c r="B47" s="244"/>
      <c r="C47" s="251" t="s">
        <v>261</v>
      </c>
      <c r="D47" s="252">
        <f>D10+D14+D18+D24+D32+D40+D43</f>
        <v>4803.78</v>
      </c>
    </row>
    <row r="48" spans="2:4">
      <c r="B48" s="244"/>
      <c r="C48" s="247"/>
      <c r="D48" s="252"/>
    </row>
    <row r="49" spans="2:4">
      <c r="B49" s="244" t="s">
        <v>262</v>
      </c>
      <c r="C49" s="247" t="s">
        <v>263</v>
      </c>
      <c r="D49" s="252"/>
    </row>
    <row r="50" spans="2:4">
      <c r="B50" s="244"/>
      <c r="C50" s="251" t="s">
        <v>260</v>
      </c>
      <c r="D50" s="252">
        <f>D46/D21</f>
        <v>0.78</v>
      </c>
    </row>
    <row r="51" spans="2:4">
      <c r="B51" s="244"/>
      <c r="C51" s="251" t="s">
        <v>261</v>
      </c>
      <c r="D51" s="252">
        <f>D47/D21</f>
        <v>1.6</v>
      </c>
    </row>
    <row r="52" spans="2:4">
      <c r="B52" s="244"/>
      <c r="C52" s="247"/>
      <c r="D52" s="252"/>
    </row>
    <row r="53" spans="2:4">
      <c r="B53" s="255" t="s">
        <v>264</v>
      </c>
      <c r="C53" s="256" t="s">
        <v>265</v>
      </c>
      <c r="D53" s="257" t="s">
        <v>195</v>
      </c>
    </row>
    <row r="54" spans="2:4">
      <c r="B54" s="255" t="s">
        <v>266</v>
      </c>
      <c r="C54" s="258" t="s">
        <v>260</v>
      </c>
      <c r="D54" s="257">
        <f>D46*1.2</f>
        <v>2799.67</v>
      </c>
    </row>
    <row r="55" spans="2:4">
      <c r="B55" s="255" t="s">
        <v>267</v>
      </c>
      <c r="C55" s="258" t="s">
        <v>261</v>
      </c>
      <c r="D55" s="257">
        <f>D47*1.2</f>
        <v>5764.54</v>
      </c>
    </row>
    <row r="56" spans="2:4" ht="15.75" thickBot="1">
      <c r="B56" s="259"/>
      <c r="C56" s="260"/>
      <c r="D56" s="261"/>
    </row>
  </sheetData>
  <mergeCells count="3">
    <mergeCell ref="B2:D2"/>
    <mergeCell ref="B3:D3"/>
    <mergeCell ref="B4:D4"/>
  </mergeCells>
  <printOptions horizontalCentered="1"/>
  <pageMargins left="0.51181102362204722" right="0.51181102362204722" top="0.31496062992125984" bottom="0.39370078740157483" header="0.19685039370078741" footer="0.31496062992125984"/>
  <pageSetup paperSize="9" scale="90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B1:E46"/>
  <sheetViews>
    <sheetView view="pageBreakPreview" zoomScale="110" zoomScaleNormal="100" zoomScaleSheetLayoutView="110" workbookViewId="0"/>
  </sheetViews>
  <sheetFormatPr defaultColWidth="12.7109375" defaultRowHeight="15"/>
  <cols>
    <col min="1" max="1" width="1.7109375" style="242" customWidth="1"/>
    <col min="2" max="2" width="8.28515625" style="242" customWidth="1"/>
    <col min="3" max="3" width="59.7109375" style="242" customWidth="1"/>
    <col min="4" max="4" width="21.7109375" style="242" customWidth="1"/>
    <col min="5" max="5" width="5.5703125" style="242" bestFit="1" customWidth="1"/>
    <col min="6" max="16384" width="12.7109375" style="242"/>
  </cols>
  <sheetData>
    <row r="1" spans="2:5" ht="7.5" customHeight="1" thickBot="1"/>
    <row r="2" spans="2:5" s="243" customFormat="1" ht="22.5" customHeight="1" thickBot="1">
      <c r="B2" s="775" t="s">
        <v>55</v>
      </c>
      <c r="C2" s="776"/>
      <c r="D2" s="777"/>
    </row>
    <row r="3" spans="2:5" ht="32.25" customHeight="1" thickBot="1">
      <c r="B3" s="778" t="s">
        <v>510</v>
      </c>
      <c r="C3" s="779"/>
      <c r="D3" s="780"/>
    </row>
    <row r="4" spans="2:5" ht="15.75" thickBot="1">
      <c r="B4" s="781" t="s">
        <v>521</v>
      </c>
      <c r="C4" s="782"/>
      <c r="D4" s="783"/>
    </row>
    <row r="5" spans="2:5">
      <c r="B5" s="244" t="s">
        <v>196</v>
      </c>
      <c r="C5" s="247" t="s">
        <v>197</v>
      </c>
      <c r="D5" s="246"/>
    </row>
    <row r="6" spans="2:5">
      <c r="B6" s="244" t="s">
        <v>198</v>
      </c>
      <c r="C6" s="248" t="s">
        <v>199</v>
      </c>
      <c r="D6" s="249">
        <v>110778</v>
      </c>
      <c r="E6" s="589">
        <f>BDI!C37</f>
        <v>24.5</v>
      </c>
    </row>
    <row r="7" spans="2:5">
      <c r="B7" s="244" t="s">
        <v>200</v>
      </c>
      <c r="C7" s="248" t="s">
        <v>201</v>
      </c>
      <c r="D7" s="246">
        <v>36</v>
      </c>
    </row>
    <row r="8" spans="2:5">
      <c r="B8" s="244" t="s">
        <v>202</v>
      </c>
      <c r="C8" s="248" t="s">
        <v>203</v>
      </c>
      <c r="D8" s="250">
        <v>0.4</v>
      </c>
    </row>
    <row r="9" spans="2:5">
      <c r="B9" s="244" t="s">
        <v>204</v>
      </c>
      <c r="C9" s="248" t="s">
        <v>205</v>
      </c>
      <c r="D9" s="246">
        <f>(D6-(D8*D6))/D7</f>
        <v>1846.3</v>
      </c>
    </row>
    <row r="10" spans="2:5">
      <c r="B10" s="244" t="s">
        <v>206</v>
      </c>
      <c r="C10" s="247" t="s">
        <v>207</v>
      </c>
      <c r="D10" s="246"/>
    </row>
    <row r="11" spans="2:5">
      <c r="B11" s="244" t="s">
        <v>208</v>
      </c>
      <c r="C11" s="248" t="s">
        <v>209</v>
      </c>
      <c r="D11" s="250">
        <v>0.05</v>
      </c>
    </row>
    <row r="12" spans="2:5">
      <c r="B12" s="244" t="s">
        <v>210</v>
      </c>
      <c r="C12" s="251" t="s">
        <v>211</v>
      </c>
      <c r="D12" s="246">
        <f>D11*D9</f>
        <v>92.32</v>
      </c>
    </row>
    <row r="13" spans="2:5">
      <c r="B13" s="244" t="s">
        <v>212</v>
      </c>
      <c r="C13" s="247" t="s">
        <v>213</v>
      </c>
      <c r="D13" s="246"/>
    </row>
    <row r="14" spans="2:5">
      <c r="B14" s="244" t="s">
        <v>214</v>
      </c>
      <c r="C14" s="248" t="s">
        <v>215</v>
      </c>
      <c r="D14" s="250">
        <v>1</v>
      </c>
    </row>
    <row r="15" spans="2:5">
      <c r="B15" s="244" t="s">
        <v>216</v>
      </c>
      <c r="C15" s="248" t="s">
        <v>217</v>
      </c>
      <c r="D15" s="246">
        <f>D14*D9</f>
        <v>1846.3</v>
      </c>
    </row>
    <row r="16" spans="2:5">
      <c r="B16" s="244" t="s">
        <v>218</v>
      </c>
      <c r="C16" s="247" t="s">
        <v>219</v>
      </c>
      <c r="D16" s="246"/>
    </row>
    <row r="17" spans="2:4">
      <c r="B17" s="244" t="s">
        <v>220</v>
      </c>
      <c r="C17" s="248" t="s">
        <v>221</v>
      </c>
      <c r="D17" s="246">
        <v>3000</v>
      </c>
    </row>
    <row r="18" spans="2:4">
      <c r="B18" s="244" t="s">
        <v>222</v>
      </c>
      <c r="C18" s="248" t="s">
        <v>223</v>
      </c>
      <c r="D18" s="246">
        <v>2.0699999999999998</v>
      </c>
    </row>
    <row r="19" spans="2:4">
      <c r="B19" s="244" t="s">
        <v>224</v>
      </c>
      <c r="C19" s="248" t="s">
        <v>225</v>
      </c>
      <c r="D19" s="246">
        <v>10</v>
      </c>
    </row>
    <row r="20" spans="2:4">
      <c r="B20" s="244" t="s">
        <v>226</v>
      </c>
      <c r="C20" s="248" t="s">
        <v>227</v>
      </c>
      <c r="D20" s="246">
        <f>(D17/D19)*D18</f>
        <v>621</v>
      </c>
    </row>
    <row r="21" spans="2:4">
      <c r="B21" s="244" t="s">
        <v>228</v>
      </c>
      <c r="C21" s="247" t="s">
        <v>229</v>
      </c>
      <c r="D21" s="246"/>
    </row>
    <row r="22" spans="2:4">
      <c r="B22" s="244" t="s">
        <v>230</v>
      </c>
      <c r="C22" s="248" t="s">
        <v>231</v>
      </c>
      <c r="D22" s="246">
        <f>D17*12</f>
        <v>36000</v>
      </c>
    </row>
    <row r="23" spans="2:4">
      <c r="B23" s="244" t="s">
        <v>232</v>
      </c>
      <c r="C23" s="248" t="s">
        <v>233</v>
      </c>
      <c r="D23" s="246">
        <v>5000</v>
      </c>
    </row>
    <row r="24" spans="2:4">
      <c r="B24" s="244" t="s">
        <v>234</v>
      </c>
      <c r="C24" s="248" t="s">
        <v>235</v>
      </c>
      <c r="D24" s="246">
        <v>24.93</v>
      </c>
    </row>
    <row r="25" spans="2:4">
      <c r="B25" s="244" t="s">
        <v>236</v>
      </c>
      <c r="C25" s="248" t="s">
        <v>237</v>
      </c>
      <c r="D25" s="246">
        <v>3.5</v>
      </c>
    </row>
    <row r="26" spans="2:4">
      <c r="B26" s="244" t="s">
        <v>238</v>
      </c>
      <c r="C26" s="248" t="s">
        <v>239</v>
      </c>
      <c r="D26" s="246">
        <v>365</v>
      </c>
    </row>
    <row r="27" spans="2:4">
      <c r="B27" s="244" t="s">
        <v>240</v>
      </c>
      <c r="C27" s="248" t="s">
        <v>241</v>
      </c>
      <c r="D27" s="252">
        <f>(D22*D24*D25*30)/(D23*D26)</f>
        <v>51.64</v>
      </c>
    </row>
    <row r="28" spans="2:4">
      <c r="B28" s="244" t="s">
        <v>242</v>
      </c>
      <c r="C28" s="247" t="s">
        <v>243</v>
      </c>
      <c r="D28" s="253"/>
    </row>
    <row r="29" spans="2:4">
      <c r="B29" s="244" t="s">
        <v>244</v>
      </c>
      <c r="C29" s="248" t="s">
        <v>231</v>
      </c>
      <c r="D29" s="246">
        <f>D17*12</f>
        <v>36000</v>
      </c>
    </row>
    <row r="30" spans="2:4">
      <c r="B30" s="244" t="s">
        <v>245</v>
      </c>
      <c r="C30" s="248" t="s">
        <v>246</v>
      </c>
      <c r="D30" s="246">
        <v>45000</v>
      </c>
    </row>
    <row r="31" spans="2:4">
      <c r="B31" s="244" t="s">
        <v>247</v>
      </c>
      <c r="C31" s="248" t="s">
        <v>248</v>
      </c>
      <c r="D31" s="246">
        <v>5</v>
      </c>
    </row>
    <row r="32" spans="2:4">
      <c r="B32" s="244" t="s">
        <v>249</v>
      </c>
      <c r="C32" s="248" t="s">
        <v>250</v>
      </c>
      <c r="D32" s="249">
        <v>588.45000000000005</v>
      </c>
    </row>
    <row r="33" spans="2:4">
      <c r="B33" s="244" t="s">
        <v>251</v>
      </c>
      <c r="C33" s="248" t="s">
        <v>252</v>
      </c>
      <c r="D33" s="246">
        <v>365</v>
      </c>
    </row>
    <row r="34" spans="2:4">
      <c r="B34" s="244" t="s">
        <v>253</v>
      </c>
      <c r="C34" s="248" t="s">
        <v>254</v>
      </c>
      <c r="D34" s="246">
        <f>(D29*D31*D32*30)/(D30*D33)</f>
        <v>193.46</v>
      </c>
    </row>
    <row r="35" spans="2:4">
      <c r="B35" s="244" t="s">
        <v>255</v>
      </c>
      <c r="C35" s="247" t="s">
        <v>100</v>
      </c>
      <c r="D35" s="246"/>
    </row>
    <row r="36" spans="2:4">
      <c r="B36" s="244" t="s">
        <v>256</v>
      </c>
      <c r="C36" s="248" t="s">
        <v>257</v>
      </c>
      <c r="D36" s="246">
        <v>2470.7199999999998</v>
      </c>
    </row>
    <row r="37" spans="2:4">
      <c r="B37" s="244" t="s">
        <v>258</v>
      </c>
      <c r="C37" s="247" t="s">
        <v>259</v>
      </c>
      <c r="D37" s="252" t="s">
        <v>195</v>
      </c>
    </row>
    <row r="38" spans="2:4">
      <c r="B38" s="244"/>
      <c r="C38" s="251" t="s">
        <v>260</v>
      </c>
      <c r="D38" s="254">
        <f>D9+D12+D15+D20+D27+D34</f>
        <v>4651.0200000000004</v>
      </c>
    </row>
    <row r="39" spans="2:4">
      <c r="B39" s="244"/>
      <c r="C39" s="251" t="s">
        <v>261</v>
      </c>
      <c r="D39" s="252">
        <f>D9+D12+D15+D20+D27+D34+D36</f>
        <v>7121.74</v>
      </c>
    </row>
    <row r="40" spans="2:4">
      <c r="B40" s="244" t="s">
        <v>262</v>
      </c>
      <c r="C40" s="247" t="s">
        <v>263</v>
      </c>
      <c r="D40" s="252"/>
    </row>
    <row r="41" spans="2:4">
      <c r="B41" s="244"/>
      <c r="C41" s="251" t="s">
        <v>260</v>
      </c>
      <c r="D41" s="252">
        <f>D38/D17</f>
        <v>1.55</v>
      </c>
    </row>
    <row r="42" spans="2:4">
      <c r="B42" s="244"/>
      <c r="C42" s="251" t="s">
        <v>261</v>
      </c>
      <c r="D42" s="252">
        <f>D39/D17</f>
        <v>2.37</v>
      </c>
    </row>
    <row r="43" spans="2:4">
      <c r="B43" s="255" t="s">
        <v>264</v>
      </c>
      <c r="C43" s="256" t="s">
        <v>265</v>
      </c>
      <c r="D43" s="257" t="s">
        <v>195</v>
      </c>
    </row>
    <row r="44" spans="2:4">
      <c r="B44" s="255" t="s">
        <v>266</v>
      </c>
      <c r="C44" s="258" t="s">
        <v>260</v>
      </c>
      <c r="D44" s="257">
        <f>D38*(1+E6/100)</f>
        <v>5790.52</v>
      </c>
    </row>
    <row r="45" spans="2:4">
      <c r="B45" s="255" t="s">
        <v>267</v>
      </c>
      <c r="C45" s="258" t="s">
        <v>261</v>
      </c>
      <c r="D45" s="257">
        <f>D39*(1+E6/100)</f>
        <v>8866.57</v>
      </c>
    </row>
    <row r="46" spans="2:4" ht="15.75" thickBot="1">
      <c r="B46" s="259"/>
      <c r="C46" s="260"/>
      <c r="D46" s="261"/>
    </row>
  </sheetData>
  <mergeCells count="3">
    <mergeCell ref="B2:D2"/>
    <mergeCell ref="B3:D3"/>
    <mergeCell ref="B4:D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P41"/>
  <sheetViews>
    <sheetView view="pageBreakPreview" zoomScale="80" zoomScaleNormal="100" zoomScaleSheetLayoutView="80" workbookViewId="0">
      <selection activeCell="E36" sqref="E36"/>
    </sheetView>
  </sheetViews>
  <sheetFormatPr defaultRowHeight="12.75"/>
  <cols>
    <col min="2" max="2" width="9.28515625" bestFit="1" customWidth="1"/>
    <col min="3" max="3" width="33.140625" bestFit="1" customWidth="1"/>
    <col min="4" max="4" width="10.85546875" bestFit="1" customWidth="1"/>
    <col min="5" max="5" width="8.42578125" bestFit="1" customWidth="1"/>
    <col min="6" max="6" width="10.28515625" bestFit="1" customWidth="1"/>
    <col min="7" max="7" width="20.5703125" bestFit="1" customWidth="1"/>
    <col min="10" max="10" width="9.28515625" bestFit="1" customWidth="1"/>
  </cols>
  <sheetData>
    <row r="2" spans="1:16">
      <c r="A2" s="785"/>
      <c r="B2" s="785"/>
      <c r="C2" s="785"/>
      <c r="D2" s="785"/>
      <c r="E2" s="785"/>
      <c r="F2" s="785"/>
      <c r="G2" s="785"/>
      <c r="H2" s="785"/>
      <c r="I2" s="785"/>
      <c r="J2" s="524"/>
      <c r="K2" s="524"/>
      <c r="L2" s="524"/>
      <c r="M2" s="524"/>
      <c r="N2" s="524"/>
      <c r="O2" s="524"/>
      <c r="P2" s="524"/>
    </row>
    <row r="3" spans="1:16">
      <c r="A3" s="785"/>
      <c r="B3" s="785"/>
      <c r="C3" s="785"/>
      <c r="D3" s="785"/>
      <c r="E3" s="785"/>
      <c r="F3" s="785"/>
      <c r="G3" s="785"/>
      <c r="H3" s="785"/>
      <c r="I3" s="785"/>
      <c r="J3" s="524"/>
      <c r="K3" s="524"/>
      <c r="L3" s="524"/>
      <c r="M3" s="524"/>
      <c r="N3" s="524"/>
      <c r="O3" s="524"/>
      <c r="P3" s="524"/>
    </row>
    <row r="4" spans="1:16">
      <c r="A4" s="785"/>
      <c r="B4" s="785"/>
      <c r="C4" s="785"/>
      <c r="D4" s="785"/>
      <c r="E4" s="785"/>
      <c r="F4" s="785"/>
      <c r="G4" s="785"/>
      <c r="H4" s="785"/>
      <c r="I4" s="785"/>
      <c r="J4" s="524"/>
      <c r="K4" s="524"/>
      <c r="L4" s="524"/>
      <c r="M4" s="524"/>
      <c r="N4" s="524"/>
      <c r="O4" s="524"/>
      <c r="P4" s="524"/>
    </row>
    <row r="5" spans="1:16">
      <c r="A5" s="785"/>
      <c r="B5" s="785"/>
      <c r="C5" s="785"/>
      <c r="D5" s="785"/>
      <c r="E5" s="785"/>
      <c r="F5" s="785"/>
      <c r="G5" s="785"/>
      <c r="H5" s="785"/>
      <c r="I5" s="785"/>
      <c r="J5" s="524"/>
      <c r="K5" s="524"/>
      <c r="L5" s="524"/>
      <c r="M5" s="524"/>
      <c r="N5" s="524"/>
      <c r="O5" s="524"/>
      <c r="P5" s="524"/>
    </row>
    <row r="6" spans="1:16">
      <c r="A6" s="785"/>
      <c r="B6" s="785"/>
      <c r="C6" s="785"/>
      <c r="D6" s="785"/>
      <c r="E6" s="785"/>
      <c r="F6" s="785"/>
      <c r="G6" s="785"/>
      <c r="H6" s="785"/>
      <c r="I6" s="785"/>
      <c r="J6" s="524"/>
      <c r="K6" s="524"/>
      <c r="L6" s="524"/>
      <c r="M6" s="524"/>
      <c r="N6" s="524"/>
      <c r="O6" s="524"/>
      <c r="P6" s="524"/>
    </row>
    <row r="7" spans="1:16" ht="15.75">
      <c r="A7" s="525"/>
      <c r="B7" s="786" t="s">
        <v>648</v>
      </c>
      <c r="C7" s="786"/>
      <c r="D7" s="786"/>
      <c r="E7" s="786"/>
      <c r="F7" s="786"/>
      <c r="G7" s="786"/>
      <c r="H7" s="526"/>
      <c r="I7" s="527"/>
      <c r="J7" s="525"/>
      <c r="K7" s="525"/>
      <c r="L7" s="525"/>
      <c r="M7" s="525"/>
      <c r="N7" s="525"/>
      <c r="O7" s="525"/>
    </row>
    <row r="8" spans="1:16" ht="15.75">
      <c r="A8" s="525"/>
      <c r="B8" s="790" t="s">
        <v>690</v>
      </c>
      <c r="C8" s="791"/>
      <c r="D8" s="791"/>
      <c r="E8" s="791"/>
      <c r="F8" s="791"/>
      <c r="G8" s="792"/>
      <c r="H8" s="526"/>
      <c r="I8" s="527"/>
      <c r="J8" s="525"/>
      <c r="K8" s="525"/>
      <c r="L8" s="525"/>
      <c r="M8" s="525"/>
      <c r="N8" s="525"/>
      <c r="O8" s="525"/>
    </row>
    <row r="9" spans="1:16" ht="40.5" customHeight="1">
      <c r="A9" s="525"/>
      <c r="B9" s="793"/>
      <c r="C9" s="794"/>
      <c r="D9" s="794"/>
      <c r="E9" s="794"/>
      <c r="F9" s="794"/>
      <c r="G9" s="795"/>
      <c r="H9" s="526"/>
      <c r="I9" s="527"/>
      <c r="J9" s="525"/>
      <c r="K9" s="525"/>
      <c r="L9" s="525"/>
      <c r="M9" s="525"/>
      <c r="N9" s="525"/>
      <c r="O9" s="525"/>
    </row>
    <row r="10" spans="1:16" ht="15.75">
      <c r="A10" s="525"/>
      <c r="B10" s="525"/>
      <c r="C10" s="525"/>
      <c r="D10" s="525"/>
      <c r="E10" s="525"/>
      <c r="F10" s="525"/>
      <c r="G10" s="528" t="s">
        <v>195</v>
      </c>
      <c r="H10" s="529" t="s">
        <v>195</v>
      </c>
      <c r="I10" s="527"/>
      <c r="J10" s="525"/>
      <c r="K10" s="525"/>
      <c r="L10" s="525"/>
      <c r="M10" s="525"/>
      <c r="N10" s="525"/>
      <c r="O10" s="525"/>
    </row>
    <row r="11" spans="1:16" ht="15.75">
      <c r="A11" s="525"/>
      <c r="B11" s="530" t="s">
        <v>649</v>
      </c>
      <c r="C11" s="531">
        <v>100000</v>
      </c>
      <c r="E11" s="525"/>
      <c r="F11" s="525"/>
      <c r="G11" s="532"/>
      <c r="H11" s="533"/>
      <c r="I11" s="525"/>
      <c r="J11" s="525"/>
      <c r="K11" s="525"/>
      <c r="L11" s="525"/>
      <c r="M11" s="525"/>
      <c r="N11" s="525"/>
      <c r="O11" s="525"/>
    </row>
    <row r="12" spans="1:16" ht="16.5" thickBot="1">
      <c r="A12" s="525"/>
      <c r="B12" s="525"/>
      <c r="C12" s="525"/>
      <c r="D12" s="525"/>
      <c r="E12" s="525"/>
      <c r="F12" s="525"/>
      <c r="G12" s="525"/>
      <c r="H12" s="528" t="s">
        <v>195</v>
      </c>
      <c r="I12" s="525"/>
      <c r="J12" s="525"/>
      <c r="K12" s="525"/>
      <c r="L12" s="525"/>
      <c r="M12" s="525"/>
      <c r="N12" s="525"/>
      <c r="O12" s="525"/>
    </row>
    <row r="13" spans="1:16" ht="15.75" customHeight="1" thickBot="1">
      <c r="A13" s="525"/>
      <c r="B13" s="787" t="s">
        <v>650</v>
      </c>
      <c r="C13" s="788" t="s">
        <v>651</v>
      </c>
      <c r="D13" s="534" t="s">
        <v>269</v>
      </c>
      <c r="E13" s="535" t="s">
        <v>269</v>
      </c>
      <c r="F13" s="536" t="s">
        <v>652</v>
      </c>
      <c r="G13" s="537" t="s">
        <v>653</v>
      </c>
      <c r="H13" s="525"/>
      <c r="I13" s="525"/>
      <c r="J13" s="789" t="s">
        <v>654</v>
      </c>
      <c r="K13" s="789"/>
      <c r="L13" s="789"/>
      <c r="M13" s="789"/>
      <c r="N13" s="525"/>
      <c r="O13" s="525"/>
    </row>
    <row r="14" spans="1:16" ht="16.5" thickBot="1">
      <c r="A14" s="525"/>
      <c r="B14" s="787"/>
      <c r="C14" s="788"/>
      <c r="D14" s="538" t="s">
        <v>655</v>
      </c>
      <c r="E14" s="539" t="s">
        <v>656</v>
      </c>
      <c r="F14" s="540" t="s">
        <v>657</v>
      </c>
      <c r="G14" s="541" t="s">
        <v>657</v>
      </c>
      <c r="H14" s="542" t="s">
        <v>195</v>
      </c>
      <c r="I14" s="543"/>
      <c r="J14" s="789"/>
      <c r="K14" s="789"/>
      <c r="L14" s="789"/>
      <c r="M14" s="789"/>
      <c r="N14" s="525"/>
      <c r="O14" s="525"/>
    </row>
    <row r="15" spans="1:16" ht="15.75">
      <c r="A15" s="525"/>
      <c r="B15" s="544"/>
      <c r="C15" s="545"/>
      <c r="D15" s="546"/>
      <c r="E15" s="547"/>
      <c r="F15" s="548"/>
      <c r="G15" s="549"/>
      <c r="H15" s="550"/>
      <c r="I15" s="550"/>
      <c r="J15" s="550"/>
      <c r="K15" s="550"/>
      <c r="L15" s="550"/>
      <c r="M15" s="525"/>
      <c r="N15" s="525"/>
      <c r="O15" s="525"/>
    </row>
    <row r="16" spans="1:16" ht="15.75">
      <c r="A16" s="525"/>
      <c r="B16" s="551">
        <v>1</v>
      </c>
      <c r="C16" s="552" t="s">
        <v>658</v>
      </c>
      <c r="D16" s="553" t="s">
        <v>195</v>
      </c>
      <c r="E16" s="554">
        <f>SUM(E17:E18)</f>
        <v>6.5</v>
      </c>
      <c r="F16" s="555">
        <f>F17+F18</f>
        <v>6500</v>
      </c>
      <c r="G16" s="556">
        <f>ROUND(E16*C11/100,2)</f>
        <v>6500</v>
      </c>
      <c r="H16" s="550" t="s">
        <v>195</v>
      </c>
      <c r="I16" s="557" t="s">
        <v>659</v>
      </c>
      <c r="J16" s="558">
        <f>E16/100</f>
        <v>6.5000000000000002E-2</v>
      </c>
      <c r="K16" s="784" t="s">
        <v>660</v>
      </c>
      <c r="L16" s="784"/>
      <c r="M16" s="784"/>
      <c r="N16" s="784"/>
      <c r="O16" s="525"/>
    </row>
    <row r="17" spans="1:15" ht="15.75">
      <c r="A17" s="525"/>
      <c r="B17" s="559" t="s">
        <v>11</v>
      </c>
      <c r="C17" s="560" t="s">
        <v>661</v>
      </c>
      <c r="D17" s="553"/>
      <c r="E17" s="561">
        <v>4</v>
      </c>
      <c r="F17" s="555">
        <f>G16*E17/(E17+E18)</f>
        <v>4000</v>
      </c>
      <c r="G17" s="562"/>
      <c r="H17" s="550"/>
      <c r="I17" s="563"/>
      <c r="J17" s="564"/>
      <c r="K17" s="565"/>
      <c r="L17" s="565"/>
      <c r="M17" s="565"/>
      <c r="N17" s="565"/>
      <c r="O17" s="525"/>
    </row>
    <row r="18" spans="1:15" ht="15.75">
      <c r="A18" s="525"/>
      <c r="B18" s="559" t="s">
        <v>14</v>
      </c>
      <c r="C18" s="560" t="s">
        <v>662</v>
      </c>
      <c r="D18" s="553"/>
      <c r="E18" s="561">
        <v>2.5</v>
      </c>
      <c r="F18" s="555">
        <f>G16*E18/(E18+E17)</f>
        <v>2500</v>
      </c>
      <c r="G18" s="562"/>
      <c r="H18" s="550"/>
      <c r="I18" s="563"/>
      <c r="J18" s="564"/>
      <c r="K18" s="565"/>
      <c r="L18" s="565"/>
      <c r="M18" s="565"/>
      <c r="N18" s="565"/>
      <c r="O18" s="525"/>
    </row>
    <row r="19" spans="1:15" ht="15.75">
      <c r="A19" s="525"/>
      <c r="B19" s="559"/>
      <c r="C19" s="566" t="s">
        <v>195</v>
      </c>
      <c r="D19" s="567" t="s">
        <v>195</v>
      </c>
      <c r="E19" s="561" t="s">
        <v>195</v>
      </c>
      <c r="F19" s="555" t="s">
        <v>195</v>
      </c>
      <c r="G19" s="568"/>
      <c r="H19" s="800" t="s">
        <v>195</v>
      </c>
      <c r="I19" s="800"/>
      <c r="J19" s="800"/>
      <c r="K19" s="800"/>
      <c r="L19" s="800"/>
      <c r="M19" s="525"/>
      <c r="N19" s="525"/>
      <c r="O19" s="525"/>
    </row>
    <row r="20" spans="1:15" ht="15.75">
      <c r="A20" s="525"/>
      <c r="B20" s="551">
        <v>2</v>
      </c>
      <c r="C20" s="552" t="s">
        <v>663</v>
      </c>
      <c r="D20" s="569">
        <f>SUM(D21:D23)</f>
        <v>5.75</v>
      </c>
      <c r="E20" s="570">
        <f>SUM(E21:E23)</f>
        <v>7.17</v>
      </c>
      <c r="F20" s="555">
        <f>F21+F22+F23</f>
        <v>0</v>
      </c>
      <c r="G20" s="562">
        <f>ROUND(SUM(F21:F23),2)</f>
        <v>0</v>
      </c>
      <c r="H20" s="550"/>
      <c r="I20" s="557" t="s">
        <v>664</v>
      </c>
      <c r="J20" s="558">
        <f>D20/100</f>
        <v>5.7500000000000002E-2</v>
      </c>
      <c r="K20" s="784" t="s">
        <v>665</v>
      </c>
      <c r="L20" s="784"/>
      <c r="M20" s="784"/>
      <c r="N20" s="784"/>
      <c r="O20" s="571"/>
    </row>
    <row r="21" spans="1:15" ht="15.75">
      <c r="A21" s="525"/>
      <c r="B21" s="559" t="s">
        <v>21</v>
      </c>
      <c r="C21" s="572" t="s">
        <v>666</v>
      </c>
      <c r="D21" s="567">
        <v>2.1</v>
      </c>
      <c r="E21" s="561">
        <f>ROUND(D21*(1+($C$36/100)),2)</f>
        <v>2.62</v>
      </c>
      <c r="F21" s="555">
        <f>ROUND(E21*$C$10/100,2)</f>
        <v>0</v>
      </c>
      <c r="G21" s="568"/>
      <c r="H21" s="800" t="s">
        <v>195</v>
      </c>
      <c r="I21" s="800"/>
      <c r="J21" s="800"/>
      <c r="K21" s="800"/>
      <c r="L21" s="800"/>
      <c r="M21" s="525"/>
      <c r="N21" s="525"/>
      <c r="O21" s="525"/>
    </row>
    <row r="22" spans="1:15" ht="15.75">
      <c r="A22" s="525"/>
      <c r="B22" s="559" t="s">
        <v>23</v>
      </c>
      <c r="C22" s="566" t="s">
        <v>667</v>
      </c>
      <c r="D22" s="567">
        <v>0.65</v>
      </c>
      <c r="E22" s="561">
        <f>ROUND(D22*(1+($C$36/100)),2)</f>
        <v>0.81</v>
      </c>
      <c r="F22" s="555">
        <f>ROUND(E22*$C$10/100,2)</f>
        <v>0</v>
      </c>
      <c r="G22" s="568"/>
      <c r="H22" s="542" t="s">
        <v>195</v>
      </c>
      <c r="I22" s="557" t="s">
        <v>668</v>
      </c>
      <c r="J22" s="558">
        <f>E25/100</f>
        <v>1.32E-2</v>
      </c>
      <c r="K22" s="784" t="s">
        <v>669</v>
      </c>
      <c r="L22" s="784"/>
      <c r="M22" s="784"/>
      <c r="N22" s="784"/>
      <c r="O22" s="525"/>
    </row>
    <row r="23" spans="1:15" ht="15.75">
      <c r="A23" s="525"/>
      <c r="B23" s="559" t="s">
        <v>24</v>
      </c>
      <c r="C23" s="566" t="s">
        <v>670</v>
      </c>
      <c r="D23" s="573">
        <v>3</v>
      </c>
      <c r="E23" s="561">
        <f>ROUND(D23*(1+($C$36/100)),2)</f>
        <v>3.74</v>
      </c>
      <c r="F23" s="555">
        <f>ROUND(E23*$C$10/100,2)</f>
        <v>0</v>
      </c>
      <c r="G23" s="574" t="s">
        <v>195</v>
      </c>
      <c r="H23" s="550"/>
      <c r="O23" s="550"/>
    </row>
    <row r="24" spans="1:15" ht="15.75">
      <c r="A24" s="525"/>
      <c r="B24" s="575"/>
      <c r="C24" s="566"/>
      <c r="D24" s="567"/>
      <c r="E24" s="561"/>
      <c r="F24" s="555"/>
      <c r="G24" s="562"/>
      <c r="H24" s="550"/>
      <c r="I24" s="557" t="s">
        <v>671</v>
      </c>
      <c r="J24" s="558">
        <f>E30/100</f>
        <v>0.01</v>
      </c>
      <c r="K24" s="784" t="s">
        <v>672</v>
      </c>
      <c r="L24" s="784"/>
      <c r="M24" s="784"/>
      <c r="N24" s="784"/>
      <c r="O24" s="525"/>
    </row>
    <row r="25" spans="1:15" ht="15.75">
      <c r="A25" s="525"/>
      <c r="B25" s="551">
        <v>3</v>
      </c>
      <c r="C25" s="552" t="s">
        <v>673</v>
      </c>
      <c r="D25" s="567" t="s">
        <v>195</v>
      </c>
      <c r="E25" s="570">
        <f>SUM(E26:E28)</f>
        <v>1.32</v>
      </c>
      <c r="F25" s="555">
        <f>ROUND(E25*$C$10/100,2)</f>
        <v>0</v>
      </c>
      <c r="G25" s="562">
        <f>ROUND(F25,2)</f>
        <v>0</v>
      </c>
      <c r="H25" s="550"/>
      <c r="O25" s="525"/>
    </row>
    <row r="26" spans="1:15" ht="15.75">
      <c r="A26" s="525"/>
      <c r="B26" s="559" t="s">
        <v>34</v>
      </c>
      <c r="C26" s="572" t="s">
        <v>674</v>
      </c>
      <c r="D26" s="567"/>
      <c r="E26" s="561">
        <v>0.36</v>
      </c>
      <c r="F26" s="555">
        <f>G25*E26</f>
        <v>0</v>
      </c>
      <c r="G26" s="562"/>
      <c r="H26" s="550"/>
      <c r="O26" s="525"/>
    </row>
    <row r="27" spans="1:15" ht="15.75">
      <c r="A27" s="525"/>
      <c r="B27" s="559" t="s">
        <v>35</v>
      </c>
      <c r="C27" s="572" t="s">
        <v>675</v>
      </c>
      <c r="D27" s="567"/>
      <c r="E27" s="561">
        <v>0.75</v>
      </c>
      <c r="F27" s="555">
        <f>G25*E27</f>
        <v>0</v>
      </c>
      <c r="G27" s="562"/>
      <c r="H27" s="550"/>
      <c r="O27" s="525"/>
    </row>
    <row r="28" spans="1:15" ht="15.75">
      <c r="A28" s="525"/>
      <c r="B28" s="559" t="s">
        <v>36</v>
      </c>
      <c r="C28" s="572" t="s">
        <v>676</v>
      </c>
      <c r="D28" s="567"/>
      <c r="E28" s="561">
        <v>0.21</v>
      </c>
      <c r="F28" s="555">
        <f>G25*E28</f>
        <v>0</v>
      </c>
      <c r="G28" s="562"/>
      <c r="H28" s="550"/>
      <c r="O28" s="525"/>
    </row>
    <row r="29" spans="1:15" ht="15.75">
      <c r="A29" s="525"/>
      <c r="B29" s="575"/>
      <c r="C29" s="566"/>
      <c r="D29" s="567"/>
      <c r="E29" s="561"/>
      <c r="F29" s="555"/>
      <c r="G29" s="562"/>
      <c r="H29" s="550"/>
      <c r="I29" s="557" t="s">
        <v>677</v>
      </c>
      <c r="J29" s="558">
        <f>D32/100</f>
        <v>6.9500000000000006E-2</v>
      </c>
      <c r="K29" s="784" t="s">
        <v>678</v>
      </c>
      <c r="L29" s="784"/>
      <c r="M29" s="784"/>
      <c r="N29" s="784"/>
      <c r="O29" s="525"/>
    </row>
    <row r="30" spans="1:15" ht="15.75">
      <c r="A30" s="525"/>
      <c r="B30" s="551">
        <v>4</v>
      </c>
      <c r="C30" s="552" t="s">
        <v>679</v>
      </c>
      <c r="D30" s="567" t="s">
        <v>195</v>
      </c>
      <c r="E30" s="570">
        <v>1</v>
      </c>
      <c r="F30" s="555">
        <f>ROUND(E30*$C$10/100,2)</f>
        <v>0</v>
      </c>
      <c r="G30" s="562">
        <f>ROUND(F30,2)</f>
        <v>0</v>
      </c>
      <c r="H30" s="550"/>
      <c r="I30" s="525"/>
      <c r="J30" s="525"/>
      <c r="K30" s="525"/>
      <c r="L30" s="525"/>
      <c r="M30" s="525"/>
      <c r="N30" s="525"/>
      <c r="O30" s="525"/>
    </row>
    <row r="31" spans="1:15" ht="15.75">
      <c r="A31" s="525"/>
      <c r="B31" s="575"/>
      <c r="C31" s="566"/>
      <c r="D31" s="567"/>
      <c r="E31" s="561"/>
      <c r="F31" s="555"/>
      <c r="G31" s="562"/>
      <c r="H31" s="550"/>
      <c r="I31" s="796" t="s">
        <v>680</v>
      </c>
      <c r="J31" s="796"/>
      <c r="K31" s="796"/>
      <c r="L31" s="796"/>
      <c r="M31" s="796"/>
      <c r="N31" s="796"/>
      <c r="O31" s="525"/>
    </row>
    <row r="32" spans="1:15" ht="15.75">
      <c r="A32" s="525"/>
      <c r="B32" s="551">
        <v>5</v>
      </c>
      <c r="C32" s="552" t="s">
        <v>681</v>
      </c>
      <c r="D32" s="576">
        <v>6.95</v>
      </c>
      <c r="E32" s="570">
        <f>ROUND(D32*(1+($C$36/100)),2)</f>
        <v>8.66</v>
      </c>
      <c r="F32" s="555">
        <f>ROUND(E32*$C$10/100,2)</f>
        <v>0</v>
      </c>
      <c r="G32" s="562">
        <f>ROUND(F32,2)</f>
        <v>0</v>
      </c>
      <c r="H32" s="550"/>
      <c r="O32" s="525"/>
    </row>
    <row r="33" spans="1:16" ht="15.75" thickBot="1">
      <c r="A33" s="525"/>
      <c r="B33" s="575"/>
      <c r="C33" s="566"/>
      <c r="D33" s="567"/>
      <c r="E33" s="561"/>
      <c r="F33" s="555"/>
      <c r="G33" s="568"/>
      <c r="H33" s="525"/>
      <c r="O33" s="525"/>
    </row>
    <row r="34" spans="1:16" ht="16.5" thickBot="1">
      <c r="A34" s="525"/>
      <c r="B34" s="797" t="s">
        <v>682</v>
      </c>
      <c r="C34" s="797"/>
      <c r="D34" s="797"/>
      <c r="E34" s="577">
        <f>((1+J16+J22+J24)/(1-(J20+J29))-1)*100</f>
        <v>24.65</v>
      </c>
      <c r="F34" s="578"/>
      <c r="G34" s="579">
        <f>G16+G20+G25+G30+G32</f>
        <v>6500</v>
      </c>
      <c r="H34" s="532" t="s">
        <v>195</v>
      </c>
      <c r="O34" s="525"/>
    </row>
    <row r="35" spans="1:16" ht="15.75">
      <c r="A35" s="525"/>
      <c r="B35" s="525"/>
      <c r="C35" s="580"/>
      <c r="D35" s="525"/>
      <c r="F35" s="581" t="s">
        <v>683</v>
      </c>
      <c r="G35" s="582">
        <f>C11+G34</f>
        <v>106500</v>
      </c>
      <c r="H35" s="525"/>
      <c r="I35" s="525"/>
      <c r="J35" s="525"/>
      <c r="K35" s="525"/>
      <c r="L35" s="525"/>
      <c r="M35" s="525"/>
      <c r="N35" s="525"/>
      <c r="O35" s="525"/>
      <c r="P35" s="583"/>
    </row>
    <row r="36" spans="1:16" ht="15.75">
      <c r="A36" s="525"/>
      <c r="B36" s="584" t="s">
        <v>268</v>
      </c>
      <c r="C36" s="585">
        <f>((1+J16+J22+J24)/(1-(J20+J29))-1)*100</f>
        <v>24.65</v>
      </c>
      <c r="D36" s="586" t="s">
        <v>684</v>
      </c>
      <c r="E36" s="525"/>
      <c r="F36" s="525"/>
      <c r="G36" s="525"/>
      <c r="H36" s="525"/>
      <c r="I36" s="525"/>
      <c r="J36" s="525"/>
      <c r="K36" s="525"/>
      <c r="L36" s="525"/>
      <c r="M36" s="525"/>
      <c r="N36" s="525"/>
      <c r="O36" s="525"/>
    </row>
    <row r="37" spans="1:16" ht="15.75">
      <c r="A37" s="525"/>
      <c r="B37" s="584" t="s">
        <v>268</v>
      </c>
      <c r="C37" s="588">
        <v>24.5</v>
      </c>
      <c r="D37" s="586" t="s">
        <v>685</v>
      </c>
      <c r="E37" s="525"/>
      <c r="F37" s="525"/>
      <c r="G37" s="525"/>
      <c r="H37" s="527"/>
      <c r="I37" s="527"/>
      <c r="J37" s="527"/>
      <c r="K37" s="527"/>
      <c r="L37" s="527"/>
      <c r="M37" s="527"/>
      <c r="N37" s="527"/>
      <c r="O37" s="527"/>
    </row>
    <row r="38" spans="1:16" ht="15">
      <c r="A38" s="525"/>
      <c r="B38" s="798" t="s">
        <v>195</v>
      </c>
      <c r="C38" s="798"/>
      <c r="D38" s="525"/>
      <c r="E38" s="525"/>
      <c r="F38" s="525"/>
      <c r="G38" s="525"/>
      <c r="H38" s="527"/>
      <c r="I38" s="527"/>
      <c r="J38" s="527"/>
      <c r="K38" s="527"/>
      <c r="L38" s="527"/>
      <c r="M38" s="527"/>
      <c r="N38" s="527"/>
      <c r="O38" s="527"/>
    </row>
    <row r="39" spans="1:16" ht="15.75" customHeight="1">
      <c r="A39" s="525"/>
      <c r="B39" s="799" t="s">
        <v>686</v>
      </c>
      <c r="C39" s="799"/>
      <c r="D39" s="799"/>
      <c r="E39" s="799"/>
      <c r="F39" s="799"/>
      <c r="G39" s="799"/>
      <c r="H39" s="587"/>
      <c r="I39" s="587"/>
      <c r="J39" s="587"/>
      <c r="K39" s="587"/>
      <c r="L39" s="587"/>
      <c r="M39" s="587"/>
      <c r="N39" s="587"/>
      <c r="O39" s="587"/>
    </row>
    <row r="40" spans="1:16" ht="15">
      <c r="A40" s="525"/>
      <c r="B40" s="799"/>
      <c r="C40" s="799"/>
      <c r="D40" s="799"/>
      <c r="E40" s="799"/>
      <c r="F40" s="799"/>
      <c r="G40" s="799"/>
      <c r="H40" s="527"/>
      <c r="I40" s="527"/>
      <c r="J40" s="527"/>
      <c r="K40" s="527"/>
      <c r="L40" s="527"/>
      <c r="M40" s="527"/>
      <c r="N40" s="527"/>
      <c r="O40" s="527"/>
    </row>
    <row r="41" spans="1:16" ht="15">
      <c r="A41" s="525"/>
      <c r="B41" s="525"/>
      <c r="C41" s="525"/>
      <c r="D41" s="525"/>
      <c r="E41" s="525"/>
      <c r="F41" s="525"/>
      <c r="G41" s="525"/>
      <c r="H41" s="527"/>
      <c r="I41" s="527"/>
      <c r="J41" s="527"/>
      <c r="K41" s="527"/>
      <c r="L41" s="527"/>
      <c r="M41" s="527"/>
      <c r="N41" s="527"/>
      <c r="O41" s="527"/>
    </row>
  </sheetData>
  <mergeCells count="17">
    <mergeCell ref="I31:N31"/>
    <mergeCell ref="B34:D34"/>
    <mergeCell ref="B38:C38"/>
    <mergeCell ref="B39:G40"/>
    <mergeCell ref="H19:L19"/>
    <mergeCell ref="K20:N20"/>
    <mergeCell ref="H21:L21"/>
    <mergeCell ref="K22:N22"/>
    <mergeCell ref="K24:N24"/>
    <mergeCell ref="K29:N29"/>
    <mergeCell ref="K16:N16"/>
    <mergeCell ref="A2:I6"/>
    <mergeCell ref="B7:G7"/>
    <mergeCell ref="B13:B14"/>
    <mergeCell ref="C13:C14"/>
    <mergeCell ref="J13:M14"/>
    <mergeCell ref="B8:G9"/>
  </mergeCells>
  <pageMargins left="0.51181102362204722" right="0.51181102362204722" top="0.78740157480314965" bottom="0.78740157480314965" header="0.31496062992125984" footer="0.31496062992125984"/>
  <pageSetup paperSize="9" scale="77" orientation="landscape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Veiculo</vt:lpstr>
      <vt:lpstr>Veículo Fiscalização</vt:lpstr>
      <vt:lpstr>BDI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Petrucio</dc:creator>
  <cp:lastModifiedBy>gildemar de oliveira santos</cp:lastModifiedBy>
  <cp:lastPrinted>2013-11-06T13:36:59Z</cp:lastPrinted>
  <dcterms:created xsi:type="dcterms:W3CDTF">2013-05-02T14:52:15Z</dcterms:created>
  <dcterms:modified xsi:type="dcterms:W3CDTF">2014-01-08T17:37:21Z</dcterms:modified>
</cp:coreProperties>
</file>