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815" windowHeight="7650" activeTab="4"/>
  </bookViews>
  <sheets>
    <sheet name="Olhos D'Água" sheetId="1" r:id="rId1"/>
    <sheet name="Caraibas" sheetId="2" r:id="rId2"/>
    <sheet name="Morrinhos" sheetId="3" r:id="rId3"/>
    <sheet name="Capão (falta)" sheetId="4" r:id="rId4"/>
    <sheet name="Barra (falta)" sheetId="5" r:id="rId5"/>
  </sheets>
  <calcPr calcId="145621"/>
</workbook>
</file>

<file path=xl/calcChain.xml><?xml version="1.0" encoding="utf-8"?>
<calcChain xmlns="http://schemas.openxmlformats.org/spreadsheetml/2006/main">
  <c r="D13" i="5" l="1"/>
  <c r="Z37" i="5"/>
  <c r="Z36" i="5"/>
  <c r="Z35" i="5"/>
  <c r="AC33" i="5"/>
  <c r="D11" i="1"/>
  <c r="D11" i="2"/>
  <c r="Z39" i="2"/>
  <c r="Z38" i="2"/>
  <c r="Z37" i="2"/>
  <c r="AA37" i="2" s="1"/>
  <c r="AA28" i="3"/>
  <c r="AA31" i="3" s="1"/>
  <c r="Z31" i="3" s="1"/>
  <c r="Z28" i="3"/>
  <c r="Z39" i="4"/>
  <c r="Z38" i="4"/>
  <c r="Z37" i="4"/>
  <c r="AA37" i="4" l="1"/>
  <c r="AB40" i="4" s="1"/>
  <c r="Z42" i="4" s="1"/>
  <c r="AA29" i="3"/>
  <c r="Z29" i="3" s="1"/>
  <c r="AA35" i="5"/>
  <c r="AA30" i="3"/>
  <c r="Z30" i="3" s="1"/>
  <c r="AB38" i="5"/>
  <c r="Z40" i="5" s="1"/>
  <c r="AB37" i="5"/>
  <c r="Z39" i="5" s="1"/>
  <c r="AB36" i="5"/>
  <c r="Z38" i="5" s="1"/>
  <c r="AB40" i="2"/>
  <c r="Z42" i="2" s="1"/>
  <c r="AB39" i="2"/>
  <c r="Z41" i="2" s="1"/>
  <c r="AB38" i="2"/>
  <c r="Z40" i="2" s="1"/>
  <c r="AB38" i="4"/>
  <c r="Z40" i="4" s="1"/>
  <c r="AB39" i="4" l="1"/>
  <c r="Z41" i="4" s="1"/>
  <c r="D11" i="4"/>
  <c r="Z37" i="1"/>
  <c r="Z36" i="1"/>
  <c r="Z35" i="1"/>
  <c r="AC33" i="1"/>
  <c r="AA35" i="1" l="1"/>
  <c r="AB38" i="1" s="1"/>
  <c r="Z40" i="1" s="1"/>
  <c r="AB37" i="1" l="1"/>
  <c r="Z39" i="1" s="1"/>
  <c r="AB36" i="1"/>
  <c r="Z38" i="1" s="1"/>
  <c r="N27" i="3" l="1"/>
  <c r="M19" i="5"/>
  <c r="M18" i="5"/>
  <c r="M17" i="5"/>
  <c r="M16" i="5"/>
  <c r="V8" i="5"/>
  <c r="N8" i="5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G7" i="5" s="1"/>
  <c r="H7" i="5" s="1"/>
  <c r="H8" i="5" s="1"/>
  <c r="N27" i="5" s="1"/>
  <c r="M19" i="4"/>
  <c r="M18" i="4"/>
  <c r="M17" i="4"/>
  <c r="M16" i="4"/>
  <c r="V8" i="4"/>
  <c r="N8" i="4"/>
  <c r="B5" i="4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G7" i="4" s="1"/>
  <c r="H7" i="4" s="1"/>
  <c r="M19" i="3"/>
  <c r="M18" i="3"/>
  <c r="M17" i="3"/>
  <c r="M16" i="3"/>
  <c r="M21" i="3" s="1"/>
  <c r="N30" i="3" s="1"/>
  <c r="V8" i="3"/>
  <c r="N8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G7" i="3" s="1"/>
  <c r="H7" i="3" s="1"/>
  <c r="H8" i="3" s="1"/>
  <c r="M19" i="2"/>
  <c r="M18" i="2"/>
  <c r="M17" i="2"/>
  <c r="M16" i="2"/>
  <c r="V8" i="2"/>
  <c r="N8" i="2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G7" i="2" s="1"/>
  <c r="H7" i="2" s="1"/>
  <c r="H8" i="2" s="1"/>
  <c r="N27" i="2" s="1"/>
  <c r="M19" i="1"/>
  <c r="M18" i="1"/>
  <c r="M17" i="1"/>
  <c r="M16" i="1"/>
  <c r="M21" i="1" s="1"/>
  <c r="N30" i="1" s="1"/>
  <c r="V8" i="1"/>
  <c r="N8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G7" i="1" s="1"/>
  <c r="H7" i="1" s="1"/>
  <c r="S12" i="2" l="1"/>
  <c r="S12" i="3"/>
  <c r="M21" i="5"/>
  <c r="N30" i="5" s="1"/>
  <c r="M21" i="4"/>
  <c r="N30" i="4" s="1"/>
  <c r="N31" i="4" s="1"/>
  <c r="S12" i="5"/>
  <c r="M21" i="2"/>
  <c r="N30" i="2" s="1"/>
  <c r="N27" i="4"/>
  <c r="S12" i="4" s="1"/>
  <c r="H8" i="4"/>
  <c r="H8" i="1"/>
  <c r="N27" i="1" s="1"/>
  <c r="L42" i="5"/>
  <c r="L63" i="5"/>
  <c r="N31" i="5"/>
  <c r="L42" i="4"/>
  <c r="L42" i="3"/>
  <c r="L63" i="3"/>
  <c r="N31" i="3"/>
  <c r="L42" i="2"/>
  <c r="L63" i="2"/>
  <c r="N31" i="2"/>
  <c r="L63" i="4" l="1"/>
  <c r="S12" i="1"/>
  <c r="L42" i="1"/>
  <c r="N31" i="1"/>
  <c r="L63" i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<sst xmlns="http://schemas.openxmlformats.org/spreadsheetml/2006/main" count="637" uniqueCount="97">
  <si>
    <t>Previsão da população</t>
  </si>
  <si>
    <t>Cálculo do Consumo Específico</t>
  </si>
  <si>
    <t>Dimensionamento de adutora de recalque simples</t>
  </si>
  <si>
    <t>Dimensionamento da Bomba</t>
  </si>
  <si>
    <t>Ano</t>
  </si>
  <si>
    <t>População</t>
  </si>
  <si>
    <t>Calculo de perda de carga unitária</t>
  </si>
  <si>
    <t>K1</t>
  </si>
  <si>
    <t>q</t>
  </si>
  <si>
    <t>P</t>
  </si>
  <si>
    <t>Q</t>
  </si>
  <si>
    <t>P = potencia da Bomba</t>
  </si>
  <si>
    <t>J= Perda de carga unitária</t>
  </si>
  <si>
    <t>m/m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</si>
  <si>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</si>
  <si>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</si>
  <si>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m</t>
  </si>
  <si>
    <t>Q = vazão requerida</t>
  </si>
  <si>
    <t>L = Comprimento da adutora</t>
  </si>
  <si>
    <t>Hm = Altura manometrica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</si>
  <si>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</si>
  <si>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p =</t>
  </si>
  <si>
    <t>CV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</si>
  <si>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</si>
  <si>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</si>
  <si>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</si>
  <si>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</si>
  <si>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</si>
  <si>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</si>
  <si>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</si>
  <si>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</si>
  <si>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</si>
  <si>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</si>
  <si>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Q = Vazão (m3/s)</t>
  </si>
  <si>
    <t>C = Coeficiente de rugosidade da tubulação</t>
  </si>
  <si>
    <t>D = diametro da tubulação (m)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</si>
  <si>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</si>
  <si>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</si>
  <si>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</si>
  <si>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</si>
  <si>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</si>
  <si>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</si>
  <si>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</si>
  <si>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</si>
  <si>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</si>
  <si>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</si>
  <si>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</si>
  <si>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</si>
  <si>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</si>
  <si>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Barra</t>
  </si>
  <si>
    <t>Caraibas</t>
  </si>
  <si>
    <t>Morrinhos</t>
  </si>
  <si>
    <t>Capão</t>
  </si>
  <si>
    <t>Olhos D'Água</t>
  </si>
  <si>
    <t>INSUMOS</t>
  </si>
  <si>
    <t>Material adutora e distribuição</t>
  </si>
  <si>
    <t>Material</t>
  </si>
  <si>
    <t>Unidade</t>
  </si>
  <si>
    <t>und</t>
  </si>
  <si>
    <t xml:space="preserve">Curva de 90º PBA </t>
  </si>
  <si>
    <t>Curva de 45º PBA</t>
  </si>
  <si>
    <t>Tubo BPA 50 mm classe 12</t>
  </si>
  <si>
    <t>Tubo PVC 32 mm Classe 12</t>
  </si>
  <si>
    <t>Tubo PVC 25 mm Classe 12</t>
  </si>
  <si>
    <t>Flange 50 mm</t>
  </si>
  <si>
    <t>Conexão T PBA 50 mm</t>
  </si>
  <si>
    <t>Adaptador PVC BSA PBA x PTA FOFO 50 mm</t>
  </si>
  <si>
    <t>Bucha c/ redução 50 x 25 PVC</t>
  </si>
  <si>
    <t>Bucha c/ redução 32 x 25 PVC</t>
  </si>
  <si>
    <t>Bomba submersa</t>
  </si>
  <si>
    <t>Caixa de passagem em alvenaria (0,30 X 0,30 X 0,30 m)</t>
  </si>
  <si>
    <t>CAP 50 mm</t>
  </si>
  <si>
    <t>Reservatórios: 1 Caixas d'água de ferrocimento (100 m³)</t>
  </si>
  <si>
    <t>Cimento</t>
  </si>
  <si>
    <t>Sc</t>
  </si>
  <si>
    <t>Areia lavada</t>
  </si>
  <si>
    <t>m³</t>
  </si>
  <si>
    <t>Armação em barra de aço 4,2 mm</t>
  </si>
  <si>
    <t>Kg</t>
  </si>
  <si>
    <t>Q 92 - TELA EM ACO SOLDADA - MALHA 15 x 15 cm - FIO ∅ 4,2 mm</t>
  </si>
  <si>
    <t>m²</t>
  </si>
  <si>
    <t>Tela hexagonal 1/2"-fio 24</t>
  </si>
  <si>
    <t>Arame recozido</t>
  </si>
  <si>
    <t>Cimbramento em pontaletes de madeira</t>
  </si>
  <si>
    <t>SERVIÇOS</t>
  </si>
  <si>
    <t>Assentamento de tubos e conexões de PVC JE DN 50</t>
  </si>
  <si>
    <t>Assentamento de tubos e conexões PVC JS DN 32 mm</t>
  </si>
  <si>
    <t>Assentamento de tubos e conexões PVC JS DN 25 mm</t>
  </si>
  <si>
    <t>Escavação mecânica de valas (solo seco), profundidade até 1,50 m (1x 0,8x0,6) 75%</t>
  </si>
  <si>
    <t>Escavação manual em solo profundidade até 1,50 m (1x 0,8x0,6) 20%</t>
  </si>
  <si>
    <t>Escavação e carga mecânica de valas, rocha branda, à frio</t>
  </si>
  <si>
    <t>Montagem e instalação de poço tubular profundo, diâmetro da tubulação de extração de 4", profundidade de instalação da bomba entre 60 m a 120 m</t>
  </si>
  <si>
    <t xml:space="preserve">Pedreiro </t>
  </si>
  <si>
    <t>h</t>
  </si>
  <si>
    <t>Armador</t>
  </si>
  <si>
    <t>Servente</t>
  </si>
  <si>
    <t>Bucha c/ redução 50 x 32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</si>
</sst>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" fontId="9" fillId="0" borderId="0"/>
  </cellStyleXfs>
  <cellXfs count="62">
    <xf numFmtId="0" fontId="0" fillId="0" borderId="0" xfId="0"/>
    <xf numFmtId="0" fontId="1" fillId="0" borderId="2" xfId="0" applyFont="1" applyBorder="1" applyAlignment="1"/>
    <xf numFmtId="0" fontId="0" fillId="0" borderId="4" xfId="0" applyBorder="1"/>
    <xf numFmtId="0" fontId="0" fillId="0" borderId="0" xfId="0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0" fillId="2" borderId="0" xfId="0" applyFill="1"/>
    <xf numFmtId="9" fontId="0" fillId="0" borderId="0" xfId="0" applyNumberFormat="1"/>
    <xf numFmtId="0" fontId="1" fillId="0" borderId="0" xfId="0" applyFont="1" applyAlignmen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5" xfId="0" applyBorder="1"/>
    <xf numFmtId="164" fontId="0" fillId="2" borderId="0" xfId="0" applyNumberFormat="1" applyFill="1" applyBorder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3" fillId="0" borderId="0" xfId="0" applyFont="1"/>
    <xf numFmtId="0" fontId="0" fillId="0" borderId="0" xfId="0" applyAlignment="1"/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19050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omments" Target="../comments2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mments" Target="../comments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omments" Target="../comments4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omments" Target="../comments5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opLeftCell="O16" workbookViewId="0">
      <selection activeCell="X23" sqref="X23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6.140625" customWidth="1"/>
    <col min="26" max="26" width="11.28515625" customWidth="1"/>
    <col min="27" max="27" width="9.28515625" hidden="1" customWidth="1"/>
    <col min="28" max="29" width="9.140625" hidden="1" customWidth="1"/>
  </cols>
  <sheetData>
    <row r="1" spans="1:30" ht="15.75" x14ac:dyDescent="0.25">
      <c r="A1" s="50" t="s">
        <v>0</v>
      </c>
      <c r="B1" s="51"/>
      <c r="C1" s="51"/>
      <c r="D1" s="1"/>
      <c r="E1" s="52" t="s">
        <v>1</v>
      </c>
      <c r="F1" s="52"/>
      <c r="G1" s="52"/>
      <c r="H1" s="53"/>
      <c r="J1" s="52" t="s">
        <v>2</v>
      </c>
      <c r="K1" s="52"/>
      <c r="L1" s="52"/>
      <c r="M1" s="52"/>
      <c r="N1" s="52"/>
      <c r="O1" s="52"/>
      <c r="R1" s="54" t="s">
        <v>3</v>
      </c>
      <c r="S1" s="54"/>
      <c r="T1" s="54"/>
      <c r="U1" s="54"/>
      <c r="X1" s="26" t="s">
        <v>54</v>
      </c>
      <c r="Y1" s="26"/>
      <c r="Z1" s="26"/>
      <c r="AA1" s="25"/>
      <c r="AB1" s="25"/>
      <c r="AC1" s="25"/>
      <c r="AD1" s="25"/>
    </row>
    <row r="2" spans="1:30" x14ac:dyDescent="0.25">
      <c r="A2" s="55" t="s">
        <v>53</v>
      </c>
      <c r="B2" s="49"/>
      <c r="X2" s="25"/>
      <c r="Y2" s="25"/>
      <c r="Z2" s="25"/>
      <c r="AA2" s="25"/>
      <c r="AB2" s="25"/>
      <c r="AC2" s="25"/>
      <c r="AD2" s="25"/>
    </row>
    <row r="3" spans="1:30" ht="15.75" x14ac:dyDescent="0.2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27" t="s">
        <v>55</v>
      </c>
      <c r="Y3" s="25"/>
      <c r="Z3" s="25"/>
      <c r="AA3" s="25"/>
      <c r="AB3" s="25"/>
      <c r="AC3" s="25"/>
      <c r="AD3" s="25"/>
    </row>
    <row r="4" spans="1:30" x14ac:dyDescent="0.25">
      <c r="A4" s="2">
        <v>0</v>
      </c>
      <c r="B4" s="4">
        <v>135</v>
      </c>
      <c r="X4" s="25"/>
      <c r="Y4" s="25"/>
      <c r="Z4" s="25"/>
      <c r="AA4" s="25"/>
      <c r="AB4" s="25"/>
      <c r="AC4" s="25"/>
      <c r="AD4" s="25"/>
    </row>
    <row r="5" spans="1:30" x14ac:dyDescent="0.25">
      <c r="A5" s="2">
        <v>1</v>
      </c>
      <c r="B5" s="5">
        <f>B4*1.05</f>
        <v>141.75</v>
      </c>
      <c r="X5" s="25" t="s">
        <v>56</v>
      </c>
      <c r="Y5" s="25" t="s">
        <v>57</v>
      </c>
      <c r="Z5" s="25" t="s">
        <v>25</v>
      </c>
      <c r="AA5" s="25"/>
      <c r="AB5" s="25"/>
      <c r="AC5" s="25"/>
      <c r="AD5" s="25"/>
    </row>
    <row r="6" spans="1:30" x14ac:dyDescent="0.25">
      <c r="A6" s="2">
        <v>2</v>
      </c>
      <c r="B6" s="5">
        <f t="shared" ref="B6:B24" si="0">B5*1.05</f>
        <v>148.83750000000001</v>
      </c>
      <c r="E6" t="s">
        <v>7</v>
      </c>
      <c r="F6" t="s">
        <v>8</v>
      </c>
      <c r="G6" t="s">
        <v>9</v>
      </c>
      <c r="H6" t="s">
        <v>10</v>
      </c>
      <c r="X6" s="25"/>
      <c r="Y6" s="25"/>
      <c r="Z6" s="25"/>
      <c r="AA6" s="25"/>
      <c r="AB6" s="25"/>
      <c r="AC6" s="25"/>
      <c r="AD6" s="25"/>
    </row>
    <row r="7" spans="1:30" x14ac:dyDescent="0.25">
      <c r="A7" s="2">
        <v>3</v>
      </c>
      <c r="B7" s="5">
        <f t="shared" si="0"/>
        <v>156.27937500000002</v>
      </c>
      <c r="E7">
        <v>1.2</v>
      </c>
      <c r="F7">
        <v>200</v>
      </c>
      <c r="G7" s="6">
        <f>B24</f>
        <v>358.19519019449712</v>
      </c>
      <c r="H7" s="7">
        <f>(E7*F7*G7)/86400</f>
        <v>0.99498663942915877</v>
      </c>
      <c r="R7" s="49" t="s">
        <v>11</v>
      </c>
      <c r="S7" s="49"/>
      <c r="T7" s="49"/>
      <c r="X7" s="25" t="s">
        <v>28</v>
      </c>
      <c r="Y7" s="25" t="s">
        <v>58</v>
      </c>
      <c r="Z7" s="25">
        <v>3</v>
      </c>
      <c r="AA7" s="25"/>
      <c r="AB7" s="25"/>
      <c r="AC7" s="25"/>
      <c r="AD7" s="25"/>
    </row>
    <row r="8" spans="1:30" x14ac:dyDescent="0.25">
      <c r="A8" s="2">
        <v>4</v>
      </c>
      <c r="B8" s="5">
        <f t="shared" si="0"/>
        <v>164.09334375000003</v>
      </c>
      <c r="H8">
        <f>H7*1.75</f>
        <v>1.7412266190010279</v>
      </c>
      <c r="J8" s="49" t="s">
        <v>12</v>
      </c>
      <c r="K8" s="49"/>
      <c r="L8" s="49"/>
      <c r="N8" s="8">
        <f>N9/N10</f>
        <v>4.2010502625656414E-2</v>
      </c>
      <c r="O8" t="s">
        <v>13</v>
      </c>
      <c r="R8" s="49" t="s">
        <v>14</v>
      </c>
      <c r="S8" s="49"/>
      <c r="T8" s="49"/>
      <c r="U8" s="49"/>
      <c r="V8">
        <f xml:space="preserve"> 1000</f>
        <v>1000</v>
      </c>
      <c r="X8" s="25" t="s">
        <v>29</v>
      </c>
      <c r="Y8" s="25" t="s">
        <v>58</v>
      </c>
      <c r="Z8" s="25">
        <v>1</v>
      </c>
      <c r="AA8" s="25"/>
      <c r="AB8" s="25"/>
      <c r="AC8" s="25"/>
      <c r="AD8" s="25"/>
    </row>
    <row r="9" spans="1:30" x14ac:dyDescent="0.25">
      <c r="A9" s="2">
        <v>5</v>
      </c>
      <c r="B9" s="5">
        <f t="shared" si="0"/>
        <v>172.29801093750004</v>
      </c>
      <c r="J9" s="49" t="s">
        <v>15</v>
      </c>
      <c r="K9" s="49"/>
      <c r="L9" s="49"/>
      <c r="M9" s="49"/>
      <c r="N9" s="9">
        <v>56</v>
      </c>
      <c r="O9" t="s">
        <v>16</v>
      </c>
      <c r="R9" s="49" t="s">
        <v>17</v>
      </c>
      <c r="S9" s="49"/>
      <c r="X9" s="25" t="s">
        <v>59</v>
      </c>
      <c r="Y9" s="25" t="s">
        <v>58</v>
      </c>
      <c r="Z9" s="25">
        <v>5</v>
      </c>
      <c r="AA9" s="25"/>
      <c r="AB9" s="25"/>
      <c r="AC9" s="25"/>
      <c r="AD9" s="25"/>
    </row>
    <row r="10" spans="1:30" x14ac:dyDescent="0.25">
      <c r="A10" s="2">
        <v>6</v>
      </c>
      <c r="B10" s="5">
        <f t="shared" si="0"/>
        <v>180.91291148437506</v>
      </c>
      <c r="J10" s="49" t="s">
        <v>18</v>
      </c>
      <c r="K10" s="49"/>
      <c r="L10" s="49"/>
      <c r="N10" s="9">
        <v>1333</v>
      </c>
      <c r="O10" t="s">
        <v>16</v>
      </c>
      <c r="R10" s="49" t="s">
        <v>19</v>
      </c>
      <c r="S10" s="49"/>
      <c r="T10" s="49"/>
      <c r="X10" s="25" t="s">
        <v>60</v>
      </c>
      <c r="Y10" s="25" t="s">
        <v>58</v>
      </c>
      <c r="Z10" s="25">
        <v>15</v>
      </c>
      <c r="AA10" s="25"/>
      <c r="AB10" s="25"/>
      <c r="AC10" s="25"/>
      <c r="AD10" s="25"/>
    </row>
    <row r="11" spans="1:30" x14ac:dyDescent="0.25">
      <c r="A11" s="2">
        <v>7</v>
      </c>
      <c r="B11" s="5">
        <f t="shared" si="0"/>
        <v>189.95855705859381</v>
      </c>
      <c r="D11">
        <f>27*5</f>
        <v>135</v>
      </c>
      <c r="R11" s="60" t="s">
        <v>20</v>
      </c>
      <c r="S11" s="60"/>
      <c r="T11" s="60"/>
      <c r="V11" s="10">
        <v>0.7</v>
      </c>
      <c r="X11" s="25" t="s">
        <v>61</v>
      </c>
      <c r="Y11" s="25" t="s">
        <v>16</v>
      </c>
      <c r="Z11" s="25">
        <v>13156</v>
      </c>
      <c r="AA11" s="25"/>
      <c r="AB11" s="25"/>
      <c r="AC11" s="25"/>
      <c r="AD11" s="25"/>
    </row>
    <row r="12" spans="1:30" x14ac:dyDescent="0.25">
      <c r="A12" s="2">
        <v>8</v>
      </c>
      <c r="B12" s="5">
        <f t="shared" si="0"/>
        <v>199.45648491152352</v>
      </c>
      <c r="R12" t="s">
        <v>21</v>
      </c>
      <c r="S12">
        <f>V8*N27*(N9+M21)/(75*0.7)</f>
        <v>2.2951025149499267</v>
      </c>
      <c r="T12" t="s">
        <v>22</v>
      </c>
      <c r="X12" s="31" t="s">
        <v>62</v>
      </c>
      <c r="Y12" s="25" t="s">
        <v>16</v>
      </c>
      <c r="Z12" s="25">
        <v>2550</v>
      </c>
      <c r="AA12" s="25"/>
      <c r="AB12" s="25"/>
      <c r="AC12" s="25"/>
      <c r="AD12" s="25"/>
    </row>
    <row r="13" spans="1:30" ht="15.75" x14ac:dyDescent="0.25">
      <c r="A13" s="2">
        <v>9</v>
      </c>
      <c r="B13" s="5">
        <f t="shared" si="0"/>
        <v>209.42930915709971</v>
      </c>
      <c r="J13" s="52" t="s">
        <v>23</v>
      </c>
      <c r="K13" s="52"/>
      <c r="L13" s="52"/>
      <c r="M13" s="52"/>
      <c r="N13" s="52"/>
      <c r="O13" s="52"/>
      <c r="P13" s="52"/>
      <c r="Q13" s="11"/>
      <c r="X13" s="31" t="s">
        <v>63</v>
      </c>
      <c r="Y13" s="25" t="s">
        <v>16</v>
      </c>
      <c r="Z13" s="25">
        <v>1209</v>
      </c>
      <c r="AA13" s="25"/>
      <c r="AB13" s="25"/>
      <c r="AC13" s="25"/>
      <c r="AD13" s="25"/>
    </row>
    <row r="14" spans="1:30" x14ac:dyDescent="0.25">
      <c r="A14" s="2">
        <v>10</v>
      </c>
      <c r="B14" s="5">
        <f t="shared" si="0"/>
        <v>219.90077461495471</v>
      </c>
      <c r="X14" s="32" t="s">
        <v>64</v>
      </c>
      <c r="Y14" s="25" t="s">
        <v>58</v>
      </c>
      <c r="Z14" s="33">
        <v>1</v>
      </c>
      <c r="AA14" s="25"/>
      <c r="AB14" s="25"/>
      <c r="AC14" s="25"/>
      <c r="AD14" s="25"/>
    </row>
    <row r="15" spans="1:30" ht="15" customHeight="1" x14ac:dyDescent="0.25">
      <c r="A15" s="2">
        <v>11</v>
      </c>
      <c r="B15" s="5">
        <f t="shared" si="0"/>
        <v>230.89581334570246</v>
      </c>
      <c r="J15" s="12" t="s">
        <v>24</v>
      </c>
      <c r="K15" s="12" t="s">
        <v>25</v>
      </c>
      <c r="L15" s="12" t="s">
        <v>26</v>
      </c>
      <c r="M15" s="13" t="s">
        <v>27</v>
      </c>
      <c r="X15" s="34" t="s">
        <v>65</v>
      </c>
      <c r="Y15" s="25" t="s">
        <v>58</v>
      </c>
      <c r="Z15" s="33">
        <v>33</v>
      </c>
      <c r="AA15" s="25"/>
      <c r="AB15" s="25"/>
      <c r="AC15" s="25"/>
      <c r="AD15" s="25"/>
    </row>
    <row r="16" spans="1:30" ht="15" customHeight="1" x14ac:dyDescent="0.25">
      <c r="A16" s="2">
        <v>12</v>
      </c>
      <c r="B16" s="5">
        <f t="shared" si="0"/>
        <v>242.44060401298759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4" t="s">
        <v>66</v>
      </c>
      <c r="Y16" s="25" t="s">
        <v>58</v>
      </c>
      <c r="Z16" s="25">
        <v>27</v>
      </c>
      <c r="AA16" s="25"/>
      <c r="AB16" s="25"/>
      <c r="AC16" s="25"/>
      <c r="AD16" s="25"/>
    </row>
    <row r="17" spans="1:30" x14ac:dyDescent="0.25">
      <c r="A17" s="2">
        <v>13</v>
      </c>
      <c r="B17" s="5">
        <f t="shared" si="0"/>
        <v>254.56263421363698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4" t="s">
        <v>96</v>
      </c>
      <c r="Y17" s="25" t="s">
        <v>58</v>
      </c>
      <c r="Z17">
        <v>12</v>
      </c>
      <c r="AD17" s="25"/>
    </row>
    <row r="18" spans="1:30" x14ac:dyDescent="0.25">
      <c r="A18" s="2">
        <v>14</v>
      </c>
      <c r="B18" s="5">
        <f t="shared" si="0"/>
        <v>267.29076592431886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4" t="s">
        <v>67</v>
      </c>
      <c r="Y18" s="25" t="s">
        <v>58</v>
      </c>
      <c r="Z18" s="33">
        <v>15</v>
      </c>
      <c r="AA18" s="25"/>
      <c r="AB18" s="25"/>
      <c r="AC18" s="25"/>
      <c r="AD18" s="25"/>
    </row>
    <row r="19" spans="1:30" x14ac:dyDescent="0.25">
      <c r="A19" s="2">
        <v>15</v>
      </c>
      <c r="B19" s="5">
        <f t="shared" si="0"/>
        <v>280.65530422053484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2" t="s">
        <v>68</v>
      </c>
      <c r="Y19" s="25" t="s">
        <v>58</v>
      </c>
      <c r="Z19" s="33">
        <v>12</v>
      </c>
      <c r="AA19" s="25"/>
      <c r="AB19" s="25"/>
      <c r="AC19" s="25"/>
      <c r="AD19" s="25"/>
    </row>
    <row r="20" spans="1:30" x14ac:dyDescent="0.25">
      <c r="A20" s="2">
        <v>16</v>
      </c>
      <c r="B20" s="5">
        <f t="shared" si="0"/>
        <v>294.68806943156159</v>
      </c>
      <c r="J20" s="15"/>
      <c r="K20" s="16"/>
      <c r="L20" s="14"/>
      <c r="M20" s="14"/>
      <c r="X20" s="35" t="s">
        <v>69</v>
      </c>
      <c r="Y20" s="25" t="s">
        <v>58</v>
      </c>
      <c r="Z20" s="36">
        <v>1</v>
      </c>
      <c r="AA20" s="25"/>
      <c r="AB20" s="25"/>
      <c r="AC20" s="25"/>
      <c r="AD20" s="25"/>
    </row>
    <row r="21" spans="1:30" x14ac:dyDescent="0.25">
      <c r="A21" s="2">
        <v>17</v>
      </c>
      <c r="B21" s="5">
        <f t="shared" si="0"/>
        <v>309.42247290313969</v>
      </c>
      <c r="L21" s="17" t="s">
        <v>32</v>
      </c>
      <c r="M21">
        <f>SUM(M16:M20)</f>
        <v>13.200000000000001</v>
      </c>
      <c r="X21" s="25" t="s">
        <v>70</v>
      </c>
      <c r="Y21" s="25" t="s">
        <v>58</v>
      </c>
      <c r="Z21" s="36">
        <v>2</v>
      </c>
      <c r="AA21" s="25"/>
      <c r="AB21" s="25"/>
      <c r="AC21" s="25"/>
      <c r="AD21" s="25"/>
    </row>
    <row r="22" spans="1:30" x14ac:dyDescent="0.25">
      <c r="A22" s="2">
        <v>18</v>
      </c>
      <c r="B22" s="5">
        <f t="shared" si="0"/>
        <v>324.89359654829667</v>
      </c>
      <c r="X22" s="25" t="s">
        <v>71</v>
      </c>
      <c r="Y22" s="25" t="s">
        <v>58</v>
      </c>
      <c r="Z22" s="36">
        <v>4</v>
      </c>
      <c r="AA22" s="25"/>
      <c r="AB22" s="25"/>
      <c r="AC22" s="25"/>
      <c r="AD22" s="25"/>
    </row>
    <row r="23" spans="1:30" ht="15.75" x14ac:dyDescent="0.25">
      <c r="A23" s="2">
        <v>19</v>
      </c>
      <c r="B23" s="5">
        <f t="shared" si="0"/>
        <v>341.13827637571154</v>
      </c>
      <c r="X23" s="27" t="s">
        <v>72</v>
      </c>
      <c r="Y23" s="27"/>
      <c r="Z23" s="27"/>
      <c r="AA23" s="25"/>
      <c r="AB23" s="25"/>
      <c r="AC23" s="25"/>
      <c r="AD23" s="25"/>
    </row>
    <row r="24" spans="1:30" x14ac:dyDescent="0.25">
      <c r="A24" s="18">
        <v>20</v>
      </c>
      <c r="B24" s="19">
        <f t="shared" si="0"/>
        <v>358.19519019449712</v>
      </c>
      <c r="X24" s="25" t="s">
        <v>56</v>
      </c>
      <c r="Y24" s="25" t="s">
        <v>57</v>
      </c>
      <c r="Z24" s="25" t="s">
        <v>25</v>
      </c>
      <c r="AA24" s="25"/>
      <c r="AB24" s="25"/>
      <c r="AC24" s="25"/>
      <c r="AD24" s="25"/>
    </row>
    <row r="25" spans="1:30" x14ac:dyDescent="0.25">
      <c r="X25" s="25"/>
      <c r="Y25" s="25"/>
      <c r="Z25" s="25"/>
      <c r="AA25" s="25"/>
      <c r="AB25" s="25"/>
      <c r="AC25" s="25"/>
      <c r="AD25" s="25"/>
    </row>
    <row r="26" spans="1:30" x14ac:dyDescent="0.25">
      <c r="X26" s="25" t="s">
        <v>73</v>
      </c>
      <c r="Y26" s="25" t="s">
        <v>74</v>
      </c>
      <c r="Z26" s="25">
        <v>90</v>
      </c>
      <c r="AA26" s="25"/>
      <c r="AB26" s="25"/>
      <c r="AC26" s="25"/>
      <c r="AD26" s="25"/>
    </row>
    <row r="27" spans="1:30" x14ac:dyDescent="0.25">
      <c r="J27" t="s">
        <v>33</v>
      </c>
      <c r="N27" s="7">
        <f>H8/1000</f>
        <v>1.741226619001028E-3</v>
      </c>
      <c r="X27" s="25" t="s">
        <v>75</v>
      </c>
      <c r="Y27" s="25" t="s">
        <v>76</v>
      </c>
      <c r="Z27" s="25">
        <v>8</v>
      </c>
      <c r="AA27" s="25"/>
      <c r="AB27" s="25"/>
      <c r="AC27" s="25"/>
      <c r="AD27" s="25"/>
    </row>
    <row r="28" spans="1:30" x14ac:dyDescent="0.25">
      <c r="J28" s="61" t="s">
        <v>34</v>
      </c>
      <c r="K28" s="61"/>
      <c r="L28" s="61"/>
      <c r="N28" s="7">
        <v>140</v>
      </c>
      <c r="X28" s="25" t="s">
        <v>77</v>
      </c>
      <c r="Y28" s="25" t="s">
        <v>78</v>
      </c>
      <c r="Z28" s="25">
        <v>380</v>
      </c>
      <c r="AA28" s="25"/>
      <c r="AB28" s="25"/>
      <c r="AC28" s="25"/>
      <c r="AD28" s="25"/>
    </row>
    <row r="29" spans="1:30" x14ac:dyDescent="0.25">
      <c r="J29" t="s">
        <v>35</v>
      </c>
      <c r="N29">
        <v>0.05</v>
      </c>
      <c r="X29" s="25" t="s">
        <v>79</v>
      </c>
      <c r="Y29" s="25" t="s">
        <v>80</v>
      </c>
      <c r="Z29" s="25">
        <v>450</v>
      </c>
      <c r="AA29" s="25"/>
      <c r="AB29" s="25"/>
      <c r="AC29" s="25"/>
      <c r="AD29" s="25"/>
    </row>
    <row r="30" spans="1:30" x14ac:dyDescent="0.25">
      <c r="J30" s="49" t="s">
        <v>36</v>
      </c>
      <c r="K30" s="49"/>
      <c r="N30">
        <f>M21</f>
        <v>13.200000000000001</v>
      </c>
      <c r="X30" s="25" t="s">
        <v>81</v>
      </c>
      <c r="Y30" s="25" t="s">
        <v>80</v>
      </c>
      <c r="Z30" s="25">
        <v>450</v>
      </c>
      <c r="AA30" s="25"/>
      <c r="AB30" s="25"/>
      <c r="AC30" s="25"/>
      <c r="AD30" s="25"/>
    </row>
    <row r="31" spans="1:30" x14ac:dyDescent="0.25">
      <c r="J31" s="49" t="s">
        <v>37</v>
      </c>
      <c r="K31" s="49"/>
      <c r="N31">
        <f>10.643*((N27/N28)^1.852)*(N30/(N29^4.87))</f>
        <v>0.2506622661834455</v>
      </c>
      <c r="X31" s="25" t="s">
        <v>82</v>
      </c>
      <c r="Y31" s="25" t="s">
        <v>78</v>
      </c>
      <c r="Z31" s="25">
        <v>10</v>
      </c>
      <c r="AA31" s="25"/>
      <c r="AB31" s="25"/>
      <c r="AC31" s="25"/>
      <c r="AD31" s="25"/>
    </row>
    <row r="32" spans="1:30" x14ac:dyDescent="0.25">
      <c r="X32" s="25" t="s">
        <v>83</v>
      </c>
      <c r="Y32" s="25" t="s">
        <v>76</v>
      </c>
      <c r="Z32" s="25">
        <v>140</v>
      </c>
      <c r="AA32" s="25"/>
      <c r="AB32" s="25"/>
      <c r="AC32" s="25"/>
      <c r="AD32" s="25"/>
    </row>
    <row r="33" spans="10:30" ht="15.75" x14ac:dyDescent="0.25">
      <c r="X33" s="26" t="s">
        <v>84</v>
      </c>
      <c r="Y33" s="37"/>
      <c r="Z33" s="37"/>
      <c r="AA33" s="25"/>
      <c r="AB33" s="25"/>
      <c r="AC33" s="25">
        <f>0.8*0.6</f>
        <v>0.48</v>
      </c>
      <c r="AD33" s="25"/>
    </row>
    <row r="34" spans="10:30" ht="15.75" x14ac:dyDescent="0.25">
      <c r="J34" s="52" t="s">
        <v>38</v>
      </c>
      <c r="K34" s="52"/>
      <c r="L34" s="52"/>
      <c r="X34" s="25"/>
      <c r="Y34" s="25" t="s">
        <v>57</v>
      </c>
      <c r="Z34" s="25" t="s">
        <v>25</v>
      </c>
      <c r="AA34" s="25"/>
      <c r="AB34" s="25"/>
      <c r="AC34" s="25"/>
      <c r="AD34" s="25"/>
    </row>
    <row r="35" spans="10:30" x14ac:dyDescent="0.25">
      <c r="X35" s="38" t="s">
        <v>85</v>
      </c>
      <c r="Y35" s="25" t="s">
        <v>16</v>
      </c>
      <c r="Z35" s="25">
        <f>Z11</f>
        <v>13156</v>
      </c>
      <c r="AA35" s="25">
        <f>SUM(Z35:Z37)</f>
        <v>16915</v>
      </c>
      <c r="AB35" s="25"/>
      <c r="AC35" s="25"/>
      <c r="AD35" s="25"/>
    </row>
    <row r="36" spans="10:30" x14ac:dyDescent="0.25">
      <c r="X36" s="39" t="s">
        <v>86</v>
      </c>
      <c r="Y36" s="25" t="s">
        <v>16</v>
      </c>
      <c r="Z36" s="25">
        <f>Z12</f>
        <v>2550</v>
      </c>
      <c r="AA36" s="25"/>
      <c r="AB36" s="25">
        <f>0.75*AA35</f>
        <v>12686.25</v>
      </c>
      <c r="AC36" s="25"/>
      <c r="AD36" s="25"/>
    </row>
    <row r="37" spans="10:30" x14ac:dyDescent="0.25">
      <c r="X37" s="39" t="s">
        <v>87</v>
      </c>
      <c r="Y37" s="25" t="s">
        <v>16</v>
      </c>
      <c r="Z37" s="25">
        <f>Z13</f>
        <v>1209</v>
      </c>
      <c r="AA37" s="25"/>
      <c r="AB37" s="25">
        <f>0.2*AA35</f>
        <v>3383</v>
      </c>
      <c r="AC37" s="25"/>
      <c r="AD37" s="25"/>
    </row>
    <row r="38" spans="10:30" x14ac:dyDescent="0.25">
      <c r="X38" s="40" t="s">
        <v>88</v>
      </c>
      <c r="Y38" s="40" t="s">
        <v>76</v>
      </c>
      <c r="Z38" s="25">
        <f>AB36*AC33</f>
        <v>6089.4</v>
      </c>
      <c r="AA38" s="25"/>
      <c r="AB38" s="25">
        <f>0.05*AA35</f>
        <v>845.75</v>
      </c>
      <c r="AC38" s="25"/>
      <c r="AD38" s="25"/>
    </row>
    <row r="39" spans="10:30" x14ac:dyDescent="0.25">
      <c r="X39" s="25" t="s">
        <v>89</v>
      </c>
      <c r="Y39" s="40" t="s">
        <v>76</v>
      </c>
      <c r="Z39" s="25">
        <f>AB37*AC33</f>
        <v>1623.84</v>
      </c>
      <c r="AA39" s="25"/>
      <c r="AB39" s="25"/>
      <c r="AC39" s="25"/>
      <c r="AD39" s="25"/>
    </row>
    <row r="40" spans="10:30" x14ac:dyDescent="0.25">
      <c r="X40" s="25" t="s">
        <v>90</v>
      </c>
      <c r="Y40" s="40" t="s">
        <v>76</v>
      </c>
      <c r="Z40" s="25">
        <f>AB38*AC33</f>
        <v>405.96</v>
      </c>
      <c r="AA40" s="25"/>
      <c r="AB40" s="25"/>
      <c r="AC40" s="25"/>
      <c r="AD40" s="25"/>
    </row>
    <row r="41" spans="10:30" ht="30" x14ac:dyDescent="0.25">
      <c r="X41" s="41" t="s">
        <v>91</v>
      </c>
      <c r="Y41" s="25" t="s">
        <v>58</v>
      </c>
      <c r="Z41" s="25">
        <v>1</v>
      </c>
      <c r="AA41" s="25"/>
      <c r="AB41" s="25"/>
      <c r="AC41" s="25"/>
      <c r="AD41" s="25"/>
    </row>
    <row r="42" spans="10:30" x14ac:dyDescent="0.25">
      <c r="K42" t="s">
        <v>39</v>
      </c>
      <c r="L42">
        <f>((10.643*((N27/N28)^1.852))/N8)^(1/4.87)</f>
        <v>4.2477640477256808E-2</v>
      </c>
      <c r="M42" t="s">
        <v>16</v>
      </c>
      <c r="X42" s="25" t="s">
        <v>92</v>
      </c>
      <c r="Y42" s="25" t="s">
        <v>93</v>
      </c>
      <c r="Z42" s="25">
        <v>300</v>
      </c>
      <c r="AA42" s="25"/>
      <c r="AB42" s="25"/>
      <c r="AC42" s="25"/>
      <c r="AD42" s="25"/>
    </row>
    <row r="43" spans="10:30" x14ac:dyDescent="0.25">
      <c r="X43" s="25" t="s">
        <v>94</v>
      </c>
      <c r="Y43" s="25" t="s">
        <v>93</v>
      </c>
      <c r="Z43" s="25">
        <v>90</v>
      </c>
      <c r="AA43" s="25"/>
      <c r="AB43" s="25"/>
      <c r="AC43" s="25"/>
      <c r="AD43" s="25"/>
    </row>
    <row r="44" spans="10:30" x14ac:dyDescent="0.25">
      <c r="X44" s="25" t="s">
        <v>95</v>
      </c>
      <c r="Y44" s="25" t="s">
        <v>93</v>
      </c>
      <c r="Z44" s="25">
        <v>400</v>
      </c>
      <c r="AA44" s="25"/>
      <c r="AB44" s="25"/>
      <c r="AC44" s="25"/>
    </row>
    <row r="45" spans="10:30" x14ac:dyDescent="0.25">
      <c r="J45" s="56" t="s">
        <v>40</v>
      </c>
      <c r="K45" s="56"/>
      <c r="L45" s="56"/>
      <c r="M45" s="56"/>
      <c r="N45" s="56"/>
    </row>
    <row r="46" spans="10:30" x14ac:dyDescent="0.25">
      <c r="J46" s="56"/>
      <c r="K46" s="56"/>
      <c r="L46" s="56"/>
      <c r="M46" s="56"/>
      <c r="N46" s="56"/>
    </row>
    <row r="47" spans="10:30" x14ac:dyDescent="0.25">
      <c r="J47" s="56"/>
      <c r="K47" s="56"/>
      <c r="L47" s="56"/>
      <c r="M47" s="56"/>
      <c r="N47" s="56"/>
    </row>
    <row r="50" spans="10:14" x14ac:dyDescent="0.25">
      <c r="J50" s="57" t="s">
        <v>41</v>
      </c>
      <c r="K50" s="57"/>
      <c r="L50" s="57"/>
      <c r="M50" s="57"/>
      <c r="N50" s="57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8" t="s">
        <v>45</v>
      </c>
      <c r="K58" s="58"/>
      <c r="L58" s="58"/>
      <c r="M58" s="58"/>
      <c r="N58" s="58"/>
    </row>
    <row r="59" spans="10:14" x14ac:dyDescent="0.25">
      <c r="J59" s="59" t="s">
        <v>46</v>
      </c>
      <c r="K59" s="59"/>
      <c r="L59" s="59"/>
      <c r="M59" s="59"/>
      <c r="N59" s="59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4.2106718416715143E-2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171450</xdr:rowOff>
              </to>
            </anchor>
          </objectPr>
        </oleObject>
      </mc:Choice>
      <mc:Fallback>
        <oleObject progId="Equation.3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opLeftCell="Q28" workbookViewId="0">
      <selection activeCell="X37" sqref="X37:Z43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5.7109375" customWidth="1"/>
  </cols>
  <sheetData>
    <row r="1" spans="1:30" ht="15.75" x14ac:dyDescent="0.25">
      <c r="A1" s="50" t="s">
        <v>0</v>
      </c>
      <c r="B1" s="51"/>
      <c r="C1" s="51"/>
      <c r="D1" s="1"/>
      <c r="E1" s="52" t="s">
        <v>1</v>
      </c>
      <c r="F1" s="52"/>
      <c r="G1" s="52"/>
      <c r="H1" s="53"/>
      <c r="J1" s="52" t="s">
        <v>2</v>
      </c>
      <c r="K1" s="52"/>
      <c r="L1" s="52"/>
      <c r="M1" s="52"/>
      <c r="N1" s="52"/>
      <c r="O1" s="52"/>
      <c r="R1" s="54" t="s">
        <v>3</v>
      </c>
      <c r="S1" s="54"/>
      <c r="T1" s="54"/>
      <c r="U1" s="54"/>
      <c r="X1" s="52" t="s">
        <v>54</v>
      </c>
      <c r="Y1" s="52"/>
      <c r="Z1" s="52"/>
      <c r="AA1" s="46"/>
      <c r="AB1" s="46"/>
      <c r="AC1" s="46"/>
      <c r="AD1" s="46"/>
    </row>
    <row r="2" spans="1:30" x14ac:dyDescent="0.25">
      <c r="A2" s="55" t="s">
        <v>50</v>
      </c>
      <c r="B2" s="49"/>
      <c r="X2" s="46"/>
      <c r="Y2" s="46"/>
      <c r="Z2" s="46"/>
      <c r="AA2" s="46"/>
      <c r="AB2" s="46"/>
      <c r="AC2" s="46"/>
      <c r="AD2" s="46"/>
    </row>
    <row r="3" spans="1:30" ht="15.75" x14ac:dyDescent="0.2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8" t="s">
        <v>55</v>
      </c>
      <c r="Y3" s="46"/>
      <c r="Z3" s="46"/>
      <c r="AA3" s="46"/>
      <c r="AB3" s="46"/>
      <c r="AC3" s="46"/>
      <c r="AD3" s="46"/>
    </row>
    <row r="4" spans="1:30" x14ac:dyDescent="0.25">
      <c r="A4" s="2">
        <v>0</v>
      </c>
      <c r="B4" s="4">
        <v>110</v>
      </c>
      <c r="X4" s="46"/>
      <c r="Y4" s="46"/>
      <c r="Z4" s="46"/>
      <c r="AA4" s="46"/>
      <c r="AB4" s="46"/>
      <c r="AC4" s="46"/>
      <c r="AD4" s="46"/>
    </row>
    <row r="5" spans="1:30" x14ac:dyDescent="0.25">
      <c r="A5" s="2">
        <v>1</v>
      </c>
      <c r="B5" s="5">
        <f>B4*1.05</f>
        <v>115.5</v>
      </c>
      <c r="X5" s="46" t="s">
        <v>56</v>
      </c>
      <c r="Y5" s="46" t="s">
        <v>57</v>
      </c>
      <c r="Z5" s="46" t="s">
        <v>25</v>
      </c>
      <c r="AA5" s="46"/>
      <c r="AB5" s="46"/>
      <c r="AC5" s="46"/>
      <c r="AD5" s="46"/>
    </row>
    <row r="6" spans="1:30" x14ac:dyDescent="0.25">
      <c r="A6" s="2">
        <v>2</v>
      </c>
      <c r="B6" s="5">
        <f t="shared" ref="B6:B24" si="0">B5*1.05</f>
        <v>121.27500000000001</v>
      </c>
      <c r="E6" t="s">
        <v>7</v>
      </c>
      <c r="F6" t="s">
        <v>8</v>
      </c>
      <c r="G6" t="s">
        <v>9</v>
      </c>
      <c r="H6" t="s">
        <v>10</v>
      </c>
      <c r="X6" s="46"/>
      <c r="Y6" s="46"/>
      <c r="Z6" s="46"/>
      <c r="AA6" s="46"/>
      <c r="AB6" s="46"/>
      <c r="AC6" s="46"/>
      <c r="AD6" s="46"/>
    </row>
    <row r="7" spans="1:30" x14ac:dyDescent="0.25">
      <c r="A7" s="2">
        <v>3</v>
      </c>
      <c r="B7" s="5">
        <f t="shared" si="0"/>
        <v>127.33875</v>
      </c>
      <c r="E7">
        <v>1.2</v>
      </c>
      <c r="F7">
        <v>200</v>
      </c>
      <c r="G7" s="6">
        <f>B24</f>
        <v>291.86274756588654</v>
      </c>
      <c r="H7" s="7">
        <f>(E7*F7*G7)/86400</f>
        <v>0.81072985434968481</v>
      </c>
      <c r="R7" s="49" t="s">
        <v>11</v>
      </c>
      <c r="S7" s="49"/>
      <c r="T7" s="49"/>
      <c r="X7" s="46" t="s">
        <v>28</v>
      </c>
      <c r="Y7" s="46" t="s">
        <v>58</v>
      </c>
      <c r="Z7" s="46">
        <v>3</v>
      </c>
      <c r="AA7" s="46"/>
      <c r="AB7" s="46"/>
      <c r="AC7" s="46"/>
      <c r="AD7" s="46"/>
    </row>
    <row r="8" spans="1:30" x14ac:dyDescent="0.25">
      <c r="A8" s="2">
        <v>4</v>
      </c>
      <c r="B8" s="5">
        <f t="shared" si="0"/>
        <v>133.70568750000001</v>
      </c>
      <c r="H8">
        <f>H7*1.75</f>
        <v>1.4187772451119485</v>
      </c>
      <c r="J8" s="49" t="s">
        <v>12</v>
      </c>
      <c r="K8" s="49"/>
      <c r="L8" s="49"/>
      <c r="N8" s="8">
        <f>N9/N10</f>
        <v>2.4188790560471976E-2</v>
      </c>
      <c r="O8" t="s">
        <v>13</v>
      </c>
      <c r="R8" s="49" t="s">
        <v>14</v>
      </c>
      <c r="S8" s="49"/>
      <c r="T8" s="49"/>
      <c r="U8" s="49"/>
      <c r="V8">
        <f xml:space="preserve"> 1000</f>
        <v>1000</v>
      </c>
      <c r="X8" s="46" t="s">
        <v>29</v>
      </c>
      <c r="Y8" s="46" t="s">
        <v>58</v>
      </c>
      <c r="Z8" s="46">
        <v>1</v>
      </c>
      <c r="AA8" s="46"/>
      <c r="AB8" s="46"/>
      <c r="AC8" s="46"/>
      <c r="AD8" s="46"/>
    </row>
    <row r="9" spans="1:30" x14ac:dyDescent="0.25">
      <c r="A9" s="2">
        <v>5</v>
      </c>
      <c r="B9" s="5">
        <f t="shared" si="0"/>
        <v>140.39097187500002</v>
      </c>
      <c r="J9" s="49" t="s">
        <v>15</v>
      </c>
      <c r="K9" s="49"/>
      <c r="L9" s="49"/>
      <c r="M9" s="49"/>
      <c r="N9" s="9">
        <v>41</v>
      </c>
      <c r="O9" t="s">
        <v>16</v>
      </c>
      <c r="R9" s="49" t="s">
        <v>17</v>
      </c>
      <c r="S9" s="49"/>
      <c r="X9" s="46" t="s">
        <v>59</v>
      </c>
      <c r="Y9" s="46" t="s">
        <v>58</v>
      </c>
      <c r="Z9" s="46">
        <v>7</v>
      </c>
      <c r="AA9" s="46"/>
      <c r="AB9" s="46"/>
      <c r="AC9" s="46"/>
      <c r="AD9" s="46"/>
    </row>
    <row r="10" spans="1:30" x14ac:dyDescent="0.25">
      <c r="A10" s="2">
        <v>6</v>
      </c>
      <c r="B10" s="5">
        <f t="shared" si="0"/>
        <v>147.41052046875004</v>
      </c>
      <c r="J10" s="49" t="s">
        <v>18</v>
      </c>
      <c r="K10" s="49"/>
      <c r="L10" s="49"/>
      <c r="N10" s="9">
        <v>1695</v>
      </c>
      <c r="O10" t="s">
        <v>16</v>
      </c>
      <c r="R10" s="49" t="s">
        <v>19</v>
      </c>
      <c r="S10" s="49"/>
      <c r="T10" s="49"/>
      <c r="X10" s="46" t="s">
        <v>60</v>
      </c>
      <c r="Y10" s="46" t="s">
        <v>58</v>
      </c>
      <c r="Z10" s="46">
        <v>10</v>
      </c>
      <c r="AA10" s="46"/>
      <c r="AB10" s="46"/>
      <c r="AC10" s="46"/>
      <c r="AD10" s="46"/>
    </row>
    <row r="11" spans="1:30" x14ac:dyDescent="0.25">
      <c r="A11" s="2">
        <v>7</v>
      </c>
      <c r="B11" s="5">
        <f t="shared" si="0"/>
        <v>154.78104649218756</v>
      </c>
      <c r="D11">
        <f>22*5</f>
        <v>110</v>
      </c>
      <c r="R11" s="60" t="s">
        <v>20</v>
      </c>
      <c r="S11" s="60"/>
      <c r="T11" s="60"/>
      <c r="V11" s="10">
        <v>0.7</v>
      </c>
      <c r="X11" s="46" t="s">
        <v>61</v>
      </c>
      <c r="Y11" s="46" t="s">
        <v>16</v>
      </c>
      <c r="Z11" s="46">
        <v>6544</v>
      </c>
      <c r="AA11" s="46"/>
      <c r="AB11" s="46"/>
      <c r="AC11" s="46"/>
      <c r="AD11" s="46"/>
    </row>
    <row r="12" spans="1:30" x14ac:dyDescent="0.25">
      <c r="A12" s="2">
        <v>8</v>
      </c>
      <c r="B12" s="5">
        <f t="shared" si="0"/>
        <v>162.52009881679695</v>
      </c>
      <c r="R12" t="s">
        <v>21</v>
      </c>
      <c r="S12">
        <f>V8*N27*(N9+M21)/(75*0.7)</f>
        <v>1.4647186035250974</v>
      </c>
      <c r="T12" t="s">
        <v>22</v>
      </c>
      <c r="X12" s="31" t="s">
        <v>62</v>
      </c>
      <c r="Y12" s="46" t="s">
        <v>16</v>
      </c>
      <c r="Z12" s="46">
        <v>5554</v>
      </c>
      <c r="AA12" s="46"/>
      <c r="AB12" s="46"/>
      <c r="AC12" s="46"/>
      <c r="AD12" s="46"/>
    </row>
    <row r="13" spans="1:30" ht="15.75" x14ac:dyDescent="0.25">
      <c r="A13" s="2">
        <v>9</v>
      </c>
      <c r="B13" s="5">
        <f t="shared" si="0"/>
        <v>170.64610375763681</v>
      </c>
      <c r="J13" s="52" t="s">
        <v>23</v>
      </c>
      <c r="K13" s="52"/>
      <c r="L13" s="52"/>
      <c r="M13" s="52"/>
      <c r="N13" s="52"/>
      <c r="O13" s="52"/>
      <c r="P13" s="52"/>
      <c r="Q13" s="11"/>
      <c r="X13" s="31" t="s">
        <v>63</v>
      </c>
      <c r="Y13" s="46" t="s">
        <v>16</v>
      </c>
      <c r="Z13" s="33">
        <v>748</v>
      </c>
      <c r="AA13" s="46"/>
      <c r="AB13" s="46"/>
      <c r="AC13" s="46"/>
      <c r="AD13" s="46"/>
    </row>
    <row r="14" spans="1:30" x14ac:dyDescent="0.25">
      <c r="A14" s="2">
        <v>10</v>
      </c>
      <c r="B14" s="5">
        <f t="shared" si="0"/>
        <v>179.17840894551867</v>
      </c>
      <c r="X14" s="32" t="s">
        <v>64</v>
      </c>
      <c r="Y14" s="46" t="s">
        <v>58</v>
      </c>
      <c r="Z14" s="33">
        <v>1</v>
      </c>
      <c r="AA14" s="46"/>
      <c r="AB14" s="46"/>
      <c r="AC14" s="46"/>
      <c r="AD14" s="46"/>
    </row>
    <row r="15" spans="1:30" ht="15" customHeight="1" x14ac:dyDescent="0.25">
      <c r="A15" s="2">
        <v>11</v>
      </c>
      <c r="B15" s="5">
        <f t="shared" si="0"/>
        <v>188.13732939279461</v>
      </c>
      <c r="J15" s="12" t="s">
        <v>24</v>
      </c>
      <c r="K15" s="12" t="s">
        <v>25</v>
      </c>
      <c r="L15" s="12" t="s">
        <v>26</v>
      </c>
      <c r="M15" s="13" t="s">
        <v>27</v>
      </c>
      <c r="X15" s="34" t="s">
        <v>65</v>
      </c>
      <c r="Y15" s="46" t="s">
        <v>58</v>
      </c>
      <c r="Z15" s="33">
        <v>25</v>
      </c>
      <c r="AA15" s="46"/>
      <c r="AB15" s="46"/>
      <c r="AC15" s="46"/>
      <c r="AD15" s="46"/>
    </row>
    <row r="16" spans="1:30" ht="15" customHeight="1" x14ac:dyDescent="0.25">
      <c r="A16" s="2">
        <v>12</v>
      </c>
      <c r="B16" s="5">
        <f t="shared" si="0"/>
        <v>197.54419586243435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4" t="s">
        <v>66</v>
      </c>
      <c r="Y16" s="46" t="s">
        <v>58</v>
      </c>
      <c r="Z16" s="33">
        <v>22</v>
      </c>
      <c r="AA16" s="46"/>
      <c r="AB16" s="46"/>
      <c r="AC16" s="46"/>
      <c r="AD16" s="46"/>
    </row>
    <row r="17" spans="1:30" x14ac:dyDescent="0.25">
      <c r="A17" s="2">
        <v>13</v>
      </c>
      <c r="B17" s="5">
        <f t="shared" si="0"/>
        <v>207.42140565555607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4" t="s">
        <v>67</v>
      </c>
      <c r="Y17" s="46" t="s">
        <v>58</v>
      </c>
      <c r="Z17" s="33">
        <v>17</v>
      </c>
      <c r="AA17" s="46"/>
      <c r="AB17" s="46"/>
      <c r="AC17" s="46"/>
      <c r="AD17" s="46"/>
    </row>
    <row r="18" spans="1:30" x14ac:dyDescent="0.25">
      <c r="A18" s="2">
        <v>14</v>
      </c>
      <c r="B18" s="5">
        <f t="shared" si="0"/>
        <v>217.79247593833389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4" t="s">
        <v>96</v>
      </c>
      <c r="Y18" s="46" t="s">
        <v>58</v>
      </c>
      <c r="Z18" s="33">
        <v>5</v>
      </c>
      <c r="AA18" s="46"/>
      <c r="AB18" s="46"/>
      <c r="AC18" s="46"/>
      <c r="AD18" s="46"/>
    </row>
    <row r="19" spans="1:30" x14ac:dyDescent="0.25">
      <c r="A19" s="2">
        <v>15</v>
      </c>
      <c r="B19" s="5">
        <f t="shared" si="0"/>
        <v>228.6820997352506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2" t="s">
        <v>68</v>
      </c>
      <c r="Y19" s="46" t="s">
        <v>58</v>
      </c>
      <c r="Z19" s="33">
        <v>5</v>
      </c>
      <c r="AA19" s="46"/>
      <c r="AB19" s="46"/>
      <c r="AC19" s="46"/>
      <c r="AD19" s="46"/>
    </row>
    <row r="20" spans="1:30" x14ac:dyDescent="0.25">
      <c r="A20" s="2">
        <v>16</v>
      </c>
      <c r="B20" s="5">
        <f t="shared" si="0"/>
        <v>240.11620472201315</v>
      </c>
      <c r="J20" s="15"/>
      <c r="K20" s="16"/>
      <c r="L20" s="14"/>
      <c r="M20" s="14"/>
      <c r="X20" s="35" t="s">
        <v>69</v>
      </c>
      <c r="Y20" s="46" t="s">
        <v>58</v>
      </c>
      <c r="Z20" s="42">
        <v>1</v>
      </c>
      <c r="AA20" s="46"/>
      <c r="AB20" s="46"/>
      <c r="AC20" s="46"/>
      <c r="AD20" s="46"/>
    </row>
    <row r="21" spans="1:30" x14ac:dyDescent="0.25">
      <c r="A21" s="2">
        <v>17</v>
      </c>
      <c r="B21" s="5">
        <f t="shared" si="0"/>
        <v>252.12201495811382</v>
      </c>
      <c r="L21" s="17" t="s">
        <v>32</v>
      </c>
      <c r="M21">
        <f>SUM(M16:M20)</f>
        <v>13.200000000000001</v>
      </c>
      <c r="X21" s="46" t="s">
        <v>70</v>
      </c>
      <c r="Y21" s="46" t="s">
        <v>58</v>
      </c>
      <c r="Z21" s="36">
        <v>3</v>
      </c>
      <c r="AA21" s="46"/>
      <c r="AB21" s="46"/>
      <c r="AC21" s="46"/>
      <c r="AD21" s="46"/>
    </row>
    <row r="22" spans="1:30" x14ac:dyDescent="0.25">
      <c r="A22" s="2">
        <v>18</v>
      </c>
      <c r="B22" s="5">
        <f t="shared" si="0"/>
        <v>264.72811570601954</v>
      </c>
      <c r="X22" s="46" t="s">
        <v>71</v>
      </c>
      <c r="Y22" s="46" t="s">
        <v>58</v>
      </c>
      <c r="Z22" s="36">
        <v>3</v>
      </c>
      <c r="AA22" s="46"/>
      <c r="AB22" s="46"/>
      <c r="AC22" s="46"/>
      <c r="AD22" s="46"/>
    </row>
    <row r="23" spans="1:30" x14ac:dyDescent="0.25">
      <c r="A23" s="2">
        <v>19</v>
      </c>
      <c r="B23" s="5">
        <f t="shared" si="0"/>
        <v>277.96452149132051</v>
      </c>
      <c r="X23" s="46"/>
      <c r="Y23" s="46"/>
      <c r="Z23" s="46"/>
      <c r="AA23" s="46"/>
      <c r="AB23" s="46"/>
      <c r="AC23" s="46"/>
      <c r="AD23" s="46"/>
    </row>
    <row r="24" spans="1:30" ht="15.75" x14ac:dyDescent="0.25">
      <c r="A24" s="18">
        <v>20</v>
      </c>
      <c r="B24" s="19">
        <f t="shared" si="0"/>
        <v>291.86274756588654</v>
      </c>
      <c r="X24" s="48" t="s">
        <v>72</v>
      </c>
      <c r="Y24" s="48"/>
      <c r="Z24" s="48"/>
      <c r="AA24" s="46"/>
      <c r="AB24" s="46"/>
      <c r="AC24" s="46"/>
      <c r="AD24" s="46"/>
    </row>
    <row r="25" spans="1:30" x14ac:dyDescent="0.25">
      <c r="X25" s="46" t="s">
        <v>56</v>
      </c>
      <c r="Y25" s="46" t="s">
        <v>57</v>
      </c>
      <c r="Z25" s="46" t="s">
        <v>25</v>
      </c>
      <c r="AA25" s="46"/>
      <c r="AB25" s="46"/>
      <c r="AC25" s="46"/>
      <c r="AD25" s="46"/>
    </row>
    <row r="26" spans="1:30" x14ac:dyDescent="0.25">
      <c r="X26" s="46"/>
      <c r="Y26" s="46"/>
      <c r="Z26" s="46"/>
      <c r="AA26" s="46"/>
      <c r="AB26" s="46"/>
      <c r="AC26" s="46"/>
      <c r="AD26" s="46"/>
    </row>
    <row r="27" spans="1:30" x14ac:dyDescent="0.25">
      <c r="J27" t="s">
        <v>33</v>
      </c>
      <c r="N27" s="7">
        <f>H8/1000</f>
        <v>1.4187772451119485E-3</v>
      </c>
      <c r="X27" s="46" t="s">
        <v>73</v>
      </c>
      <c r="Y27" s="46" t="s">
        <v>74</v>
      </c>
      <c r="Z27" s="46">
        <v>90</v>
      </c>
      <c r="AA27" s="46"/>
      <c r="AB27" s="46"/>
      <c r="AC27" s="46"/>
      <c r="AD27" s="46"/>
    </row>
    <row r="28" spans="1:30" x14ac:dyDescent="0.25">
      <c r="J28" s="61" t="s">
        <v>34</v>
      </c>
      <c r="K28" s="61"/>
      <c r="L28" s="61"/>
      <c r="N28" s="7">
        <v>140</v>
      </c>
      <c r="X28" s="46" t="s">
        <v>75</v>
      </c>
      <c r="Y28" s="46" t="s">
        <v>76</v>
      </c>
      <c r="Z28" s="46">
        <v>8</v>
      </c>
      <c r="AA28" s="46"/>
      <c r="AB28" s="46"/>
      <c r="AC28" s="46"/>
      <c r="AD28" s="46"/>
    </row>
    <row r="29" spans="1:30" x14ac:dyDescent="0.25">
      <c r="J29" t="s">
        <v>35</v>
      </c>
      <c r="N29">
        <v>0.05</v>
      </c>
      <c r="X29" s="46" t="s">
        <v>77</v>
      </c>
      <c r="Y29" s="46" t="s">
        <v>78</v>
      </c>
      <c r="Z29" s="46">
        <v>380</v>
      </c>
      <c r="AA29" s="46"/>
      <c r="AB29" s="46"/>
      <c r="AC29" s="46"/>
      <c r="AD29" s="46"/>
    </row>
    <row r="30" spans="1:30" x14ac:dyDescent="0.25">
      <c r="J30" s="49" t="s">
        <v>36</v>
      </c>
      <c r="K30" s="49"/>
      <c r="N30">
        <f>M21</f>
        <v>13.200000000000001</v>
      </c>
      <c r="X30" s="46" t="s">
        <v>79</v>
      </c>
      <c r="Y30" s="46" t="s">
        <v>80</v>
      </c>
      <c r="Z30" s="46">
        <v>450</v>
      </c>
      <c r="AA30" s="46"/>
      <c r="AB30" s="46"/>
      <c r="AC30" s="46"/>
      <c r="AD30" s="46"/>
    </row>
    <row r="31" spans="1:30" x14ac:dyDescent="0.25">
      <c r="J31" s="49" t="s">
        <v>37</v>
      </c>
      <c r="K31" s="49"/>
      <c r="N31">
        <f>10.643*((N27/N28)^1.852)*(N30/(N29^4.87))</f>
        <v>0.17154184444671444</v>
      </c>
      <c r="X31" s="46" t="s">
        <v>81</v>
      </c>
      <c r="Y31" s="46" t="s">
        <v>80</v>
      </c>
      <c r="Z31" s="46">
        <v>450</v>
      </c>
      <c r="AA31" s="46"/>
      <c r="AB31" s="46"/>
      <c r="AC31" s="46"/>
      <c r="AD31" s="46"/>
    </row>
    <row r="32" spans="1:30" x14ac:dyDescent="0.25">
      <c r="X32" s="46" t="s">
        <v>82</v>
      </c>
      <c r="Y32" s="46" t="s">
        <v>78</v>
      </c>
      <c r="Z32" s="46">
        <v>10</v>
      </c>
      <c r="AA32" s="46"/>
      <c r="AB32" s="46"/>
      <c r="AC32" s="46"/>
      <c r="AD32" s="46"/>
    </row>
    <row r="33" spans="10:30" x14ac:dyDescent="0.25">
      <c r="X33" s="46" t="s">
        <v>83</v>
      </c>
      <c r="Y33" s="46" t="s">
        <v>76</v>
      </c>
      <c r="Z33" s="46">
        <v>140</v>
      </c>
      <c r="AA33" s="46"/>
      <c r="AB33" s="46"/>
      <c r="AC33" s="46"/>
      <c r="AD33" s="46"/>
    </row>
    <row r="34" spans="10:30" ht="15.75" x14ac:dyDescent="0.25">
      <c r="J34" s="52" t="s">
        <v>38</v>
      </c>
      <c r="K34" s="52"/>
      <c r="L34" s="52"/>
      <c r="X34" s="46"/>
      <c r="Y34" s="46"/>
      <c r="Z34" s="46"/>
      <c r="AA34" s="46"/>
      <c r="AB34" s="46"/>
      <c r="AC34" s="46"/>
      <c r="AD34" s="46"/>
    </row>
    <row r="35" spans="10:30" ht="15.75" x14ac:dyDescent="0.25">
      <c r="X35" s="47" t="s">
        <v>84</v>
      </c>
      <c r="Y35" s="37"/>
      <c r="Z35" s="37"/>
      <c r="AA35" s="46"/>
      <c r="AB35" s="46"/>
      <c r="AC35" s="46"/>
      <c r="AD35" s="46"/>
    </row>
    <row r="36" spans="10:30" x14ac:dyDescent="0.25">
      <c r="X36" s="46"/>
      <c r="Y36" s="46" t="s">
        <v>57</v>
      </c>
      <c r="Z36" s="46" t="s">
        <v>25</v>
      </c>
      <c r="AA36" s="46"/>
      <c r="AB36" s="46"/>
      <c r="AC36" s="46">
        <v>0.48</v>
      </c>
      <c r="AD36" s="46"/>
    </row>
    <row r="37" spans="10:30" x14ac:dyDescent="0.25">
      <c r="X37" s="38" t="s">
        <v>85</v>
      </c>
      <c r="Y37" s="46" t="s">
        <v>16</v>
      </c>
      <c r="Z37" s="46">
        <f>Z11</f>
        <v>6544</v>
      </c>
      <c r="AA37" s="46">
        <f>SUM(Z37:Z39)</f>
        <v>12846</v>
      </c>
      <c r="AB37" s="46"/>
      <c r="AC37" s="46"/>
      <c r="AD37" s="46"/>
    </row>
    <row r="38" spans="10:30" x14ac:dyDescent="0.25">
      <c r="X38" s="39" t="s">
        <v>86</v>
      </c>
      <c r="Y38" s="46" t="s">
        <v>16</v>
      </c>
      <c r="Z38" s="46">
        <f>Z12</f>
        <v>5554</v>
      </c>
      <c r="AA38" s="46"/>
      <c r="AB38" s="46">
        <f>0.75*AA37</f>
        <v>9634.5</v>
      </c>
      <c r="AC38" s="46"/>
      <c r="AD38" s="46"/>
    </row>
    <row r="39" spans="10:30" x14ac:dyDescent="0.25">
      <c r="X39" s="39" t="s">
        <v>87</v>
      </c>
      <c r="Y39" s="46" t="s">
        <v>16</v>
      </c>
      <c r="Z39" s="46">
        <f>Z13</f>
        <v>748</v>
      </c>
      <c r="AA39" s="46"/>
      <c r="AB39" s="46">
        <f>0.2*AA37</f>
        <v>2569.2000000000003</v>
      </c>
      <c r="AC39" s="46"/>
      <c r="AD39" s="46"/>
    </row>
    <row r="40" spans="10:30" x14ac:dyDescent="0.25">
      <c r="X40" s="40" t="s">
        <v>88</v>
      </c>
      <c r="Y40" s="40" t="s">
        <v>76</v>
      </c>
      <c r="Z40" s="46">
        <f>AB38*AC36</f>
        <v>4624.5599999999995</v>
      </c>
      <c r="AA40" s="46"/>
      <c r="AB40" s="46">
        <f>0.05*AA37</f>
        <v>642.30000000000007</v>
      </c>
      <c r="AC40" s="46"/>
      <c r="AD40" s="46"/>
    </row>
    <row r="41" spans="10:30" x14ac:dyDescent="0.25">
      <c r="X41" s="46" t="s">
        <v>89</v>
      </c>
      <c r="Y41" s="40" t="s">
        <v>76</v>
      </c>
      <c r="Z41" s="46">
        <f>AB39*AC36</f>
        <v>1233.2160000000001</v>
      </c>
      <c r="AA41" s="46"/>
      <c r="AB41" s="46"/>
      <c r="AC41" s="46"/>
      <c r="AD41" s="46"/>
    </row>
    <row r="42" spans="10:30" x14ac:dyDescent="0.25">
      <c r="K42" t="s">
        <v>39</v>
      </c>
      <c r="L42">
        <f>((10.643*((N27/N28)^1.852))/N8)^(1/4.87)</f>
        <v>4.4011472137891645E-2</v>
      </c>
      <c r="M42" t="s">
        <v>16</v>
      </c>
      <c r="X42" s="46" t="s">
        <v>90</v>
      </c>
      <c r="Y42" s="40" t="s">
        <v>76</v>
      </c>
      <c r="Z42" s="46">
        <f>AB40*AC36</f>
        <v>308.30400000000003</v>
      </c>
      <c r="AA42" s="46"/>
      <c r="AB42" s="46"/>
      <c r="AC42" s="46"/>
      <c r="AD42" s="46"/>
    </row>
    <row r="43" spans="10:30" ht="30" x14ac:dyDescent="0.25">
      <c r="X43" s="41" t="s">
        <v>91</v>
      </c>
      <c r="Y43" s="46" t="s">
        <v>58</v>
      </c>
      <c r="Z43" s="46">
        <v>1</v>
      </c>
      <c r="AA43" s="46"/>
      <c r="AB43" s="46"/>
      <c r="AC43" s="46"/>
      <c r="AD43" s="46"/>
    </row>
    <row r="44" spans="10:30" x14ac:dyDescent="0.25">
      <c r="X44" s="46" t="s">
        <v>92</v>
      </c>
      <c r="Y44" s="46" t="s">
        <v>93</v>
      </c>
      <c r="Z44" s="46">
        <v>300</v>
      </c>
      <c r="AA44" s="46"/>
      <c r="AB44" s="46"/>
      <c r="AC44" s="46"/>
      <c r="AD44" s="46"/>
    </row>
    <row r="45" spans="10:30" x14ac:dyDescent="0.25">
      <c r="J45" s="56" t="s">
        <v>40</v>
      </c>
      <c r="K45" s="56"/>
      <c r="L45" s="56"/>
      <c r="M45" s="56"/>
      <c r="N45" s="56"/>
      <c r="X45" s="46" t="s">
        <v>94</v>
      </c>
      <c r="Y45" s="46" t="s">
        <v>93</v>
      </c>
      <c r="Z45" s="46">
        <v>90</v>
      </c>
      <c r="AA45" s="46"/>
      <c r="AB45" s="46"/>
      <c r="AC45" s="46"/>
      <c r="AD45" s="46"/>
    </row>
    <row r="46" spans="10:30" x14ac:dyDescent="0.25">
      <c r="J46" s="56"/>
      <c r="K46" s="56"/>
      <c r="L46" s="56"/>
      <c r="M46" s="56"/>
      <c r="N46" s="56"/>
      <c r="X46" s="46" t="s">
        <v>95</v>
      </c>
      <c r="Y46" s="46" t="s">
        <v>93</v>
      </c>
      <c r="Z46" s="46">
        <v>400</v>
      </c>
      <c r="AA46" s="46"/>
      <c r="AB46" s="46"/>
      <c r="AC46" s="46"/>
      <c r="AD46" s="46"/>
    </row>
    <row r="47" spans="10:30" x14ac:dyDescent="0.25">
      <c r="J47" s="56"/>
      <c r="K47" s="56"/>
      <c r="L47" s="56"/>
      <c r="M47" s="56"/>
      <c r="N47" s="56"/>
    </row>
    <row r="50" spans="10:14" x14ac:dyDescent="0.25">
      <c r="J50" s="57" t="s">
        <v>41</v>
      </c>
      <c r="K50" s="57"/>
      <c r="L50" s="57"/>
      <c r="M50" s="57"/>
      <c r="N50" s="57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8" t="s">
        <v>45</v>
      </c>
      <c r="K58" s="58"/>
      <c r="L58" s="58"/>
      <c r="M58" s="58"/>
      <c r="N58" s="58"/>
    </row>
    <row r="59" spans="10:14" x14ac:dyDescent="0.25">
      <c r="J59" s="59" t="s">
        <v>46</v>
      </c>
      <c r="K59" s="59"/>
      <c r="L59" s="59"/>
      <c r="M59" s="59"/>
      <c r="N59" s="59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3.8008510834509561E-2</v>
      </c>
    </row>
  </sheetData>
  <mergeCells count="24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180975</xdr:rowOff>
              </to>
            </anchor>
          </objectPr>
        </oleObject>
      </mc:Choice>
      <mc:Fallback>
        <oleObject progId="Equation.3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P1" workbookViewId="0">
      <selection activeCell="X7" sqref="X7:Z15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8.85546875" customWidth="1"/>
  </cols>
  <sheetData>
    <row r="1" spans="1:29" ht="15.75" x14ac:dyDescent="0.25">
      <c r="A1" s="50" t="s">
        <v>0</v>
      </c>
      <c r="B1" s="51"/>
      <c r="C1" s="51"/>
      <c r="D1" s="1"/>
      <c r="E1" s="52" t="s">
        <v>1</v>
      </c>
      <c r="F1" s="52"/>
      <c r="G1" s="52"/>
      <c r="H1" s="53"/>
      <c r="J1" s="52" t="s">
        <v>2</v>
      </c>
      <c r="K1" s="52"/>
      <c r="L1" s="52"/>
      <c r="M1" s="52"/>
      <c r="N1" s="52"/>
      <c r="O1" s="52"/>
      <c r="R1" s="54" t="s">
        <v>3</v>
      </c>
      <c r="S1" s="54"/>
      <c r="T1" s="54"/>
      <c r="U1" s="54"/>
      <c r="X1" s="52" t="s">
        <v>54</v>
      </c>
      <c r="Y1" s="52"/>
      <c r="Z1" s="52"/>
      <c r="AA1" s="44"/>
      <c r="AB1" s="44"/>
      <c r="AC1" s="44"/>
    </row>
    <row r="2" spans="1:29" x14ac:dyDescent="0.25">
      <c r="A2" s="55" t="s">
        <v>51</v>
      </c>
      <c r="B2" s="49"/>
      <c r="X2" s="44"/>
      <c r="Y2" s="44"/>
      <c r="Z2" s="44"/>
      <c r="AA2" s="44"/>
      <c r="AB2" s="44"/>
      <c r="AC2" s="44"/>
    </row>
    <row r="3" spans="1:29" ht="15.75" x14ac:dyDescent="0.2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5" t="s">
        <v>55</v>
      </c>
      <c r="Y3" s="44"/>
      <c r="Z3" s="44"/>
      <c r="AA3" s="44"/>
      <c r="AB3" s="44"/>
      <c r="AC3" s="44"/>
    </row>
    <row r="4" spans="1:29" x14ac:dyDescent="0.25">
      <c r="A4" s="2">
        <v>0</v>
      </c>
      <c r="B4" s="4">
        <v>245</v>
      </c>
      <c r="X4" s="44"/>
      <c r="Y4" s="44"/>
      <c r="Z4" s="44"/>
      <c r="AA4" s="44"/>
      <c r="AB4" s="44"/>
      <c r="AC4" s="44"/>
    </row>
    <row r="5" spans="1:29" x14ac:dyDescent="0.25">
      <c r="A5" s="2">
        <v>1</v>
      </c>
      <c r="B5" s="5">
        <f>B4*1.05</f>
        <v>257.25</v>
      </c>
      <c r="X5" s="44" t="s">
        <v>56</v>
      </c>
      <c r="Y5" s="44" t="s">
        <v>57</v>
      </c>
      <c r="Z5" s="44" t="s">
        <v>25</v>
      </c>
      <c r="AA5" s="44"/>
      <c r="AB5" s="44"/>
      <c r="AC5" s="44"/>
    </row>
    <row r="6" spans="1:29" x14ac:dyDescent="0.25">
      <c r="A6" s="2">
        <v>2</v>
      </c>
      <c r="B6" s="5">
        <f t="shared" ref="B6:B24" si="0">B5*1.05</f>
        <v>270.11250000000001</v>
      </c>
      <c r="E6" t="s">
        <v>7</v>
      </c>
      <c r="F6" t="s">
        <v>8</v>
      </c>
      <c r="G6" t="s">
        <v>9</v>
      </c>
      <c r="H6" t="s">
        <v>10</v>
      </c>
      <c r="X6" s="44"/>
      <c r="Y6" s="44"/>
      <c r="Z6" s="44"/>
      <c r="AA6" s="44"/>
      <c r="AB6" s="44"/>
      <c r="AC6" s="44"/>
    </row>
    <row r="7" spans="1:29" x14ac:dyDescent="0.25">
      <c r="A7" s="2">
        <v>3</v>
      </c>
      <c r="B7" s="5">
        <f t="shared" si="0"/>
        <v>283.61812500000002</v>
      </c>
      <c r="E7">
        <v>1.2</v>
      </c>
      <c r="F7">
        <v>200</v>
      </c>
      <c r="G7" s="6">
        <f>B24</f>
        <v>650.05793776038342</v>
      </c>
      <c r="H7" s="7">
        <f>(E7*F7*G7)/86400</f>
        <v>1.805716493778843</v>
      </c>
      <c r="R7" s="49" t="s">
        <v>11</v>
      </c>
      <c r="S7" s="49"/>
      <c r="T7" s="49"/>
      <c r="X7" s="44" t="s">
        <v>28</v>
      </c>
      <c r="Y7" s="44" t="s">
        <v>58</v>
      </c>
      <c r="Z7" s="44">
        <v>2</v>
      </c>
      <c r="AA7" s="44"/>
      <c r="AB7" s="44"/>
      <c r="AC7" s="44"/>
    </row>
    <row r="8" spans="1:29" x14ac:dyDescent="0.25">
      <c r="A8" s="2">
        <v>4</v>
      </c>
      <c r="B8" s="5">
        <f t="shared" si="0"/>
        <v>297.79903125000004</v>
      </c>
      <c r="H8">
        <f>H7*1.75</f>
        <v>3.1600038641129755</v>
      </c>
      <c r="J8" s="49" t="s">
        <v>12</v>
      </c>
      <c r="K8" s="49"/>
      <c r="L8" s="49"/>
      <c r="N8" s="8">
        <f>N9/N10</f>
        <v>2.299349240780911E-2</v>
      </c>
      <c r="O8" t="s">
        <v>13</v>
      </c>
      <c r="R8" s="49" t="s">
        <v>14</v>
      </c>
      <c r="S8" s="49"/>
      <c r="T8" s="49"/>
      <c r="U8" s="49"/>
      <c r="V8">
        <f xml:space="preserve"> 1000</f>
        <v>1000</v>
      </c>
      <c r="X8" s="44" t="s">
        <v>29</v>
      </c>
      <c r="Y8" s="44" t="s">
        <v>58</v>
      </c>
      <c r="Z8" s="44">
        <v>1</v>
      </c>
      <c r="AA8" s="44"/>
      <c r="AB8" s="44"/>
      <c r="AC8" s="44"/>
    </row>
    <row r="9" spans="1:29" x14ac:dyDescent="0.25">
      <c r="A9" s="2">
        <v>5</v>
      </c>
      <c r="B9" s="5">
        <f t="shared" si="0"/>
        <v>312.68898281250006</v>
      </c>
      <c r="J9" s="49" t="s">
        <v>15</v>
      </c>
      <c r="K9" s="49"/>
      <c r="L9" s="49"/>
      <c r="M9" s="49"/>
      <c r="N9" s="9">
        <v>53</v>
      </c>
      <c r="O9" t="s">
        <v>16</v>
      </c>
      <c r="R9" s="49" t="s">
        <v>17</v>
      </c>
      <c r="S9" s="49"/>
      <c r="X9" s="44" t="s">
        <v>59</v>
      </c>
      <c r="Y9" s="44" t="s">
        <v>58</v>
      </c>
      <c r="Z9" s="44">
        <v>4</v>
      </c>
      <c r="AA9" s="44"/>
      <c r="AB9" s="44"/>
      <c r="AC9" s="44"/>
    </row>
    <row r="10" spans="1:29" x14ac:dyDescent="0.25">
      <c r="A10" s="2">
        <v>6</v>
      </c>
      <c r="B10" s="5">
        <f t="shared" si="0"/>
        <v>328.32343195312507</v>
      </c>
      <c r="J10" s="49" t="s">
        <v>18</v>
      </c>
      <c r="K10" s="49"/>
      <c r="L10" s="49"/>
      <c r="N10" s="9">
        <v>2305</v>
      </c>
      <c r="O10" t="s">
        <v>16</v>
      </c>
      <c r="R10" s="49" t="s">
        <v>19</v>
      </c>
      <c r="S10" s="49"/>
      <c r="T10" s="49"/>
      <c r="X10" s="44" t="s">
        <v>60</v>
      </c>
      <c r="Y10" s="44" t="s">
        <v>58</v>
      </c>
      <c r="Z10" s="44">
        <v>5</v>
      </c>
      <c r="AA10" s="44"/>
      <c r="AB10" s="44"/>
      <c r="AC10" s="44"/>
    </row>
    <row r="11" spans="1:29" x14ac:dyDescent="0.25">
      <c r="A11" s="2">
        <v>7</v>
      </c>
      <c r="B11" s="5">
        <f t="shared" si="0"/>
        <v>344.73960355078134</v>
      </c>
      <c r="R11" s="60" t="s">
        <v>20</v>
      </c>
      <c r="S11" s="60"/>
      <c r="T11" s="60"/>
      <c r="V11" s="10">
        <v>0.7</v>
      </c>
      <c r="X11" s="44" t="s">
        <v>61</v>
      </c>
      <c r="Y11" s="44" t="s">
        <v>16</v>
      </c>
      <c r="Z11" s="44">
        <v>3802</v>
      </c>
      <c r="AA11" s="44"/>
      <c r="AB11" s="44"/>
      <c r="AC11" s="44"/>
    </row>
    <row r="12" spans="1:29" x14ac:dyDescent="0.25">
      <c r="A12" s="2">
        <v>8</v>
      </c>
      <c r="B12" s="5">
        <f t="shared" si="0"/>
        <v>361.97658372832041</v>
      </c>
      <c r="R12" t="s">
        <v>21</v>
      </c>
      <c r="S12">
        <f>V8*N27*(N9+M21)/(75*0.7)</f>
        <v>3.9846143962719811</v>
      </c>
      <c r="T12" t="s">
        <v>22</v>
      </c>
      <c r="X12" s="32" t="s">
        <v>64</v>
      </c>
      <c r="Y12" s="44" t="s">
        <v>58</v>
      </c>
      <c r="Z12" s="33">
        <v>1</v>
      </c>
      <c r="AA12" s="44"/>
      <c r="AB12" s="44"/>
      <c r="AC12" s="44"/>
    </row>
    <row r="13" spans="1:29" ht="15.75" x14ac:dyDescent="0.25">
      <c r="A13" s="2">
        <v>9</v>
      </c>
      <c r="B13" s="5">
        <f t="shared" si="0"/>
        <v>380.07541291473643</v>
      </c>
      <c r="J13" s="52" t="s">
        <v>23</v>
      </c>
      <c r="K13" s="52"/>
      <c r="L13" s="52"/>
      <c r="M13" s="52"/>
      <c r="N13" s="52"/>
      <c r="O13" s="52"/>
      <c r="P13" s="52"/>
      <c r="Q13" s="11"/>
      <c r="X13" s="34" t="s">
        <v>65</v>
      </c>
      <c r="Y13" s="44" t="s">
        <v>58</v>
      </c>
      <c r="Z13" s="33">
        <v>2</v>
      </c>
      <c r="AA13" s="44"/>
      <c r="AB13" s="44"/>
      <c r="AC13" s="44"/>
    </row>
    <row r="14" spans="1:29" x14ac:dyDescent="0.25">
      <c r="A14" s="2">
        <v>10</v>
      </c>
      <c r="B14" s="5">
        <f t="shared" si="0"/>
        <v>399.07918356047327</v>
      </c>
      <c r="X14" s="35" t="s">
        <v>69</v>
      </c>
      <c r="Y14" s="44" t="s">
        <v>58</v>
      </c>
      <c r="Z14" s="42">
        <v>1</v>
      </c>
      <c r="AA14" s="44"/>
      <c r="AB14" s="44"/>
      <c r="AC14" s="44"/>
    </row>
    <row r="15" spans="1:29" ht="15" customHeight="1" x14ac:dyDescent="0.25">
      <c r="A15" s="2">
        <v>11</v>
      </c>
      <c r="B15" s="5">
        <f t="shared" si="0"/>
        <v>419.03314273849696</v>
      </c>
      <c r="J15" s="12" t="s">
        <v>24</v>
      </c>
      <c r="K15" s="12" t="s">
        <v>25</v>
      </c>
      <c r="L15" s="12" t="s">
        <v>26</v>
      </c>
      <c r="M15" s="13" t="s">
        <v>27</v>
      </c>
      <c r="X15" s="44" t="s">
        <v>70</v>
      </c>
      <c r="Y15" s="44" t="s">
        <v>58</v>
      </c>
      <c r="Z15" s="36">
        <v>1</v>
      </c>
      <c r="AA15" s="44"/>
      <c r="AB15" s="44"/>
      <c r="AC15" s="44"/>
    </row>
    <row r="16" spans="1:29" ht="15" customHeight="1" x14ac:dyDescent="0.25">
      <c r="A16" s="2">
        <v>12</v>
      </c>
      <c r="B16" s="5">
        <f t="shared" si="0"/>
        <v>439.98479987542186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45" t="s">
        <v>72</v>
      </c>
      <c r="Y16" s="45"/>
      <c r="Z16" s="45"/>
      <c r="AA16" s="44"/>
      <c r="AB16" s="44"/>
      <c r="AC16" s="44"/>
    </row>
    <row r="17" spans="1:29" x14ac:dyDescent="0.25">
      <c r="A17" s="2">
        <v>13</v>
      </c>
      <c r="B17" s="5">
        <f t="shared" si="0"/>
        <v>461.98403986919294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44" t="s">
        <v>56</v>
      </c>
      <c r="Y17" s="44" t="s">
        <v>57</v>
      </c>
      <c r="Z17" s="44" t="s">
        <v>25</v>
      </c>
      <c r="AA17" s="44"/>
      <c r="AB17" s="44"/>
      <c r="AC17" s="44"/>
    </row>
    <row r="18" spans="1:29" x14ac:dyDescent="0.25">
      <c r="A18" s="2">
        <v>14</v>
      </c>
      <c r="B18" s="5">
        <f t="shared" si="0"/>
        <v>485.08324186265259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44"/>
      <c r="Y18" s="44"/>
      <c r="Z18" s="44"/>
      <c r="AA18" s="44"/>
      <c r="AB18" s="44"/>
      <c r="AC18" s="44"/>
    </row>
    <row r="19" spans="1:29" x14ac:dyDescent="0.25">
      <c r="A19" s="2">
        <v>15</v>
      </c>
      <c r="B19" s="5">
        <f t="shared" si="0"/>
        <v>509.33740395578525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44" t="s">
        <v>73</v>
      </c>
      <c r="Y19" s="44" t="s">
        <v>74</v>
      </c>
      <c r="Z19" s="44">
        <v>90</v>
      </c>
      <c r="AA19" s="44"/>
      <c r="AB19" s="44"/>
      <c r="AC19" s="44"/>
    </row>
    <row r="20" spans="1:29" x14ac:dyDescent="0.25">
      <c r="A20" s="2">
        <v>16</v>
      </c>
      <c r="B20" s="5">
        <f t="shared" si="0"/>
        <v>534.80427415357451</v>
      </c>
      <c r="J20" s="15"/>
      <c r="K20" s="16"/>
      <c r="L20" s="14"/>
      <c r="M20" s="14"/>
      <c r="X20" s="44" t="s">
        <v>75</v>
      </c>
      <c r="Y20" s="44" t="s">
        <v>76</v>
      </c>
      <c r="Z20" s="44">
        <v>8</v>
      </c>
      <c r="AA20" s="44"/>
      <c r="AB20" s="44"/>
      <c r="AC20" s="44"/>
    </row>
    <row r="21" spans="1:29" x14ac:dyDescent="0.25">
      <c r="A21" s="2">
        <v>17</v>
      </c>
      <c r="B21" s="5">
        <f t="shared" si="0"/>
        <v>561.54448786125329</v>
      </c>
      <c r="L21" s="17" t="s">
        <v>32</v>
      </c>
      <c r="M21">
        <f>SUM(M16:M20)</f>
        <v>13.200000000000001</v>
      </c>
      <c r="X21" s="44" t="s">
        <v>77</v>
      </c>
      <c r="Y21" s="44" t="s">
        <v>78</v>
      </c>
      <c r="Z21" s="44">
        <v>380</v>
      </c>
      <c r="AA21" s="44"/>
      <c r="AB21" s="44"/>
      <c r="AC21" s="44"/>
    </row>
    <row r="22" spans="1:29" x14ac:dyDescent="0.25">
      <c r="A22" s="2">
        <v>18</v>
      </c>
      <c r="B22" s="5">
        <f t="shared" si="0"/>
        <v>589.62171225431598</v>
      </c>
      <c r="X22" s="44" t="s">
        <v>79</v>
      </c>
      <c r="Y22" s="44" t="s">
        <v>80</v>
      </c>
      <c r="Z22" s="44">
        <v>450</v>
      </c>
      <c r="AA22" s="44"/>
      <c r="AB22" s="44"/>
      <c r="AC22" s="44"/>
    </row>
    <row r="23" spans="1:29" x14ac:dyDescent="0.25">
      <c r="A23" s="2">
        <v>19</v>
      </c>
      <c r="B23" s="5">
        <f t="shared" si="0"/>
        <v>619.10279786703177</v>
      </c>
      <c r="X23" s="44" t="s">
        <v>81</v>
      </c>
      <c r="Y23" s="44" t="s">
        <v>80</v>
      </c>
      <c r="Z23" s="44">
        <v>450</v>
      </c>
      <c r="AA23" s="44"/>
      <c r="AB23" s="44"/>
      <c r="AC23" s="44"/>
    </row>
    <row r="24" spans="1:29" x14ac:dyDescent="0.25">
      <c r="A24" s="18">
        <v>20</v>
      </c>
      <c r="B24" s="19">
        <f t="shared" si="0"/>
        <v>650.05793776038342</v>
      </c>
      <c r="X24" s="44" t="s">
        <v>82</v>
      </c>
      <c r="Y24" s="44" t="s">
        <v>78</v>
      </c>
      <c r="Z24" s="44">
        <v>10</v>
      </c>
      <c r="AA24" s="44"/>
      <c r="AB24" s="44"/>
      <c r="AC24" s="44"/>
    </row>
    <row r="25" spans="1:29" x14ac:dyDescent="0.25">
      <c r="X25" s="44" t="s">
        <v>83</v>
      </c>
      <c r="Y25" s="44" t="s">
        <v>76</v>
      </c>
      <c r="Z25" s="44">
        <v>140</v>
      </c>
      <c r="AA25" s="44"/>
      <c r="AB25" s="44"/>
      <c r="AC25" s="44"/>
    </row>
    <row r="26" spans="1:29" ht="15.75" x14ac:dyDescent="0.25">
      <c r="X26" s="43" t="s">
        <v>84</v>
      </c>
      <c r="Y26" s="37"/>
      <c r="Z26" s="37"/>
      <c r="AA26" s="44"/>
      <c r="AB26" s="44"/>
      <c r="AC26" s="44"/>
    </row>
    <row r="27" spans="1:29" x14ac:dyDescent="0.25">
      <c r="J27" t="s">
        <v>33</v>
      </c>
      <c r="N27" s="7">
        <f>H8/1000</f>
        <v>3.1600038641129754E-3</v>
      </c>
      <c r="X27" s="44"/>
      <c r="Y27" s="44" t="s">
        <v>57</v>
      </c>
      <c r="Z27" s="44" t="s">
        <v>25</v>
      </c>
      <c r="AA27" s="44"/>
      <c r="AB27" s="44"/>
      <c r="AC27" s="44">
        <v>0.48</v>
      </c>
    </row>
    <row r="28" spans="1:29" x14ac:dyDescent="0.25">
      <c r="J28" s="61" t="s">
        <v>34</v>
      </c>
      <c r="K28" s="61"/>
      <c r="L28" s="61"/>
      <c r="N28" s="7">
        <v>140</v>
      </c>
      <c r="X28" s="38" t="s">
        <v>85</v>
      </c>
      <c r="Y28" s="44" t="s">
        <v>16</v>
      </c>
      <c r="Z28" s="44">
        <f>Z11</f>
        <v>3802</v>
      </c>
      <c r="AA28" s="44">
        <f>Z28</f>
        <v>3802</v>
      </c>
      <c r="AB28" s="44"/>
      <c r="AC28" s="44"/>
    </row>
    <row r="29" spans="1:29" x14ac:dyDescent="0.25">
      <c r="J29" t="s">
        <v>35</v>
      </c>
      <c r="N29">
        <v>0.05</v>
      </c>
      <c r="X29" s="40" t="s">
        <v>88</v>
      </c>
      <c r="Y29" s="40" t="s">
        <v>76</v>
      </c>
      <c r="Z29" s="44">
        <f>AA29*AC27</f>
        <v>1368.72</v>
      </c>
      <c r="AA29" s="44">
        <f>0.75*AA28</f>
        <v>2851.5</v>
      </c>
      <c r="AB29" s="44"/>
      <c r="AC29" s="44"/>
    </row>
    <row r="30" spans="1:29" x14ac:dyDescent="0.25">
      <c r="J30" s="49" t="s">
        <v>36</v>
      </c>
      <c r="K30" s="49"/>
      <c r="N30">
        <f>M21</f>
        <v>13.200000000000001</v>
      </c>
      <c r="X30" s="44" t="s">
        <v>89</v>
      </c>
      <c r="Y30" s="40" t="s">
        <v>76</v>
      </c>
      <c r="Z30" s="44">
        <f>AA30*AC27</f>
        <v>364.99200000000002</v>
      </c>
      <c r="AA30" s="44">
        <f>0.2*AA28</f>
        <v>760.40000000000009</v>
      </c>
      <c r="AB30" s="44"/>
      <c r="AC30" s="44"/>
    </row>
    <row r="31" spans="1:29" x14ac:dyDescent="0.25">
      <c r="J31" s="49" t="s">
        <v>37</v>
      </c>
      <c r="K31" s="49"/>
      <c r="N31">
        <f>10.643*((N27/N28)^1.852)*(N30/(N29^4.87))</f>
        <v>0.75586878497631593</v>
      </c>
      <c r="X31" s="44" t="s">
        <v>90</v>
      </c>
      <c r="Y31" s="40" t="s">
        <v>76</v>
      </c>
      <c r="Z31" s="44">
        <f>AA31*AC27</f>
        <v>91.248000000000005</v>
      </c>
      <c r="AA31" s="44">
        <f>0.05*AA28</f>
        <v>190.10000000000002</v>
      </c>
      <c r="AB31" s="44"/>
      <c r="AC31" s="44"/>
    </row>
    <row r="32" spans="1:29" ht="30" x14ac:dyDescent="0.25">
      <c r="X32" s="41" t="s">
        <v>91</v>
      </c>
      <c r="Y32" s="44" t="s">
        <v>58</v>
      </c>
      <c r="Z32" s="44">
        <v>1</v>
      </c>
      <c r="AA32" s="44"/>
      <c r="AB32" s="44"/>
      <c r="AC32" s="44"/>
    </row>
    <row r="33" spans="10:29" x14ac:dyDescent="0.25">
      <c r="X33" s="44" t="s">
        <v>92</v>
      </c>
      <c r="Y33" s="44" t="s">
        <v>93</v>
      </c>
      <c r="Z33" s="44">
        <v>300</v>
      </c>
      <c r="AA33" s="44"/>
      <c r="AB33" s="44"/>
      <c r="AC33" s="44"/>
    </row>
    <row r="34" spans="10:29" ht="15.75" x14ac:dyDescent="0.25">
      <c r="J34" s="52" t="s">
        <v>38</v>
      </c>
      <c r="K34" s="52"/>
      <c r="L34" s="52"/>
      <c r="X34" s="44" t="s">
        <v>94</v>
      </c>
      <c r="Y34" s="44" t="s">
        <v>93</v>
      </c>
      <c r="Z34" s="44">
        <v>90</v>
      </c>
      <c r="AA34" s="44"/>
      <c r="AB34" s="44"/>
      <c r="AC34" s="44"/>
    </row>
    <row r="35" spans="10:29" x14ac:dyDescent="0.25">
      <c r="X35" s="44" t="s">
        <v>95</v>
      </c>
      <c r="Y35" s="44" t="s">
        <v>93</v>
      </c>
      <c r="Z35" s="44">
        <v>400</v>
      </c>
      <c r="AA35" s="44"/>
      <c r="AB35" s="44"/>
      <c r="AC35" s="44"/>
    </row>
    <row r="42" spans="10:29" x14ac:dyDescent="0.25">
      <c r="K42" t="s">
        <v>39</v>
      </c>
      <c r="L42">
        <f>((10.643*((N27/N28)^1.852))/N8)^(1/4.87)</f>
        <v>6.0303026477576877E-2</v>
      </c>
      <c r="M42" t="s">
        <v>16</v>
      </c>
    </row>
    <row r="45" spans="10:29" x14ac:dyDescent="0.25">
      <c r="J45" s="56" t="s">
        <v>40</v>
      </c>
      <c r="K45" s="56"/>
      <c r="L45" s="56"/>
      <c r="M45" s="56"/>
      <c r="N45" s="56"/>
    </row>
    <row r="46" spans="10:29" x14ac:dyDescent="0.25">
      <c r="J46" s="56"/>
      <c r="K46" s="56"/>
      <c r="L46" s="56"/>
      <c r="M46" s="56"/>
      <c r="N46" s="56"/>
    </row>
    <row r="47" spans="10:29" x14ac:dyDescent="0.25">
      <c r="J47" s="56"/>
      <c r="K47" s="56"/>
      <c r="L47" s="56"/>
      <c r="M47" s="56"/>
      <c r="N47" s="56"/>
    </row>
    <row r="50" spans="10:14" x14ac:dyDescent="0.25">
      <c r="J50" s="57" t="s">
        <v>41</v>
      </c>
      <c r="K50" s="57"/>
      <c r="L50" s="57"/>
      <c r="M50" s="57"/>
      <c r="N50" s="57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8" t="s">
        <v>45</v>
      </c>
      <c r="K58" s="58"/>
      <c r="L58" s="58"/>
      <c r="M58" s="58"/>
      <c r="N58" s="58"/>
    </row>
    <row r="59" spans="10:14" x14ac:dyDescent="0.25">
      <c r="J59" s="59" t="s">
        <v>46</v>
      </c>
      <c r="K59" s="59"/>
      <c r="L59" s="59"/>
      <c r="M59" s="59"/>
      <c r="N59" s="59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5.6724092162691933E-2</v>
      </c>
    </row>
  </sheetData>
  <mergeCells count="24">
    <mergeCell ref="X1:Z1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J3:N3"/>
    <mergeCell ref="R7:T7"/>
    <mergeCell ref="J8:L8"/>
    <mergeCell ref="R8:U8"/>
    <mergeCell ref="J9:M9"/>
    <mergeCell ref="R9:S9"/>
    <mergeCell ref="A1:C1"/>
    <mergeCell ref="E1:H1"/>
    <mergeCell ref="J1:O1"/>
    <mergeCell ref="R1:U1"/>
    <mergeCell ref="A2:B2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3073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0</xdr:rowOff>
              </to>
            </anchor>
          </objectPr>
        </oleObject>
      </mc:Choice>
      <mc:Fallback>
        <oleObject progId="Equation.3" shapeId="3073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workbookViewId="0">
      <selection activeCell="X1" sqref="X1:AD46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64" bestFit="1" customWidth="1"/>
    <col min="26" max="26" width="11.42578125" bestFit="1" customWidth="1"/>
    <col min="27" max="27" width="0.140625" customWidth="1"/>
    <col min="28" max="29" width="9.140625" hidden="1" customWidth="1"/>
  </cols>
  <sheetData>
    <row r="1" spans="1:30" ht="15.75" x14ac:dyDescent="0.25">
      <c r="A1" s="50" t="s">
        <v>0</v>
      </c>
      <c r="B1" s="51"/>
      <c r="C1" s="51"/>
      <c r="D1" s="1"/>
      <c r="E1" s="52" t="s">
        <v>1</v>
      </c>
      <c r="F1" s="52"/>
      <c r="G1" s="52"/>
      <c r="H1" s="53"/>
      <c r="J1" s="52" t="s">
        <v>2</v>
      </c>
      <c r="K1" s="52"/>
      <c r="L1" s="52"/>
      <c r="M1" s="52"/>
      <c r="N1" s="52"/>
      <c r="O1" s="52"/>
      <c r="R1" s="54" t="s">
        <v>3</v>
      </c>
      <c r="S1" s="54"/>
      <c r="T1" s="54"/>
      <c r="U1" s="54"/>
      <c r="X1" s="52" t="s">
        <v>54</v>
      </c>
      <c r="Y1" s="52"/>
      <c r="Z1" s="52"/>
      <c r="AA1" s="29"/>
      <c r="AB1" s="29"/>
      <c r="AC1" s="29"/>
      <c r="AD1" s="29"/>
    </row>
    <row r="2" spans="1:30" x14ac:dyDescent="0.25">
      <c r="A2" s="55" t="s">
        <v>52</v>
      </c>
      <c r="B2" s="49"/>
      <c r="X2" s="29"/>
      <c r="Y2" s="29"/>
      <c r="Z2" s="29"/>
      <c r="AA2" s="29"/>
      <c r="AB2" s="29"/>
      <c r="AC2" s="29"/>
      <c r="AD2" s="29"/>
    </row>
    <row r="3" spans="1:30" ht="15.75" x14ac:dyDescent="0.2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30" t="s">
        <v>55</v>
      </c>
      <c r="Y3" s="29"/>
      <c r="Z3" s="29"/>
      <c r="AA3" s="29"/>
      <c r="AB3" s="29"/>
      <c r="AC3" s="29"/>
      <c r="AD3" s="29"/>
    </row>
    <row r="4" spans="1:30" x14ac:dyDescent="0.25">
      <c r="A4" s="2">
        <v>0</v>
      </c>
      <c r="B4" s="4">
        <v>410</v>
      </c>
      <c r="X4" s="29"/>
      <c r="Y4" s="29"/>
      <c r="Z4" s="29"/>
      <c r="AA4" s="29"/>
      <c r="AB4" s="29"/>
      <c r="AC4" s="29"/>
      <c r="AD4" s="29"/>
    </row>
    <row r="5" spans="1:30" x14ac:dyDescent="0.25">
      <c r="A5" s="2">
        <v>1</v>
      </c>
      <c r="B5" s="5">
        <f>B4*1.05</f>
        <v>430.5</v>
      </c>
      <c r="X5" s="29" t="s">
        <v>56</v>
      </c>
      <c r="Y5" s="29" t="s">
        <v>57</v>
      </c>
      <c r="Z5" s="29" t="s">
        <v>25</v>
      </c>
      <c r="AA5" s="29"/>
      <c r="AB5" s="29"/>
      <c r="AC5" s="29"/>
      <c r="AD5" s="29"/>
    </row>
    <row r="6" spans="1:30" x14ac:dyDescent="0.25">
      <c r="A6" s="2">
        <v>2</v>
      </c>
      <c r="B6" s="5">
        <f t="shared" ref="B6:B24" si="0">B5*1.05</f>
        <v>452.02500000000003</v>
      </c>
      <c r="E6" t="s">
        <v>7</v>
      </c>
      <c r="F6" t="s">
        <v>8</v>
      </c>
      <c r="G6" t="s">
        <v>9</v>
      </c>
      <c r="H6" t="s">
        <v>10</v>
      </c>
      <c r="X6" s="29"/>
      <c r="Y6" s="29"/>
      <c r="Z6" s="29"/>
      <c r="AA6" s="29"/>
      <c r="AB6" s="29"/>
      <c r="AC6" s="29"/>
      <c r="AD6" s="29"/>
    </row>
    <row r="7" spans="1:30" x14ac:dyDescent="0.25">
      <c r="A7" s="2">
        <v>3</v>
      </c>
      <c r="B7" s="5">
        <f t="shared" si="0"/>
        <v>474.62625000000008</v>
      </c>
      <c r="E7">
        <v>1.2</v>
      </c>
      <c r="F7">
        <v>200</v>
      </c>
      <c r="G7" s="6">
        <f>B24</f>
        <v>1087.8520591092131</v>
      </c>
      <c r="H7" s="7">
        <f>(E7*F7*G7)/86400</f>
        <v>3.0218112753033699</v>
      </c>
      <c r="R7" s="49" t="s">
        <v>11</v>
      </c>
      <c r="S7" s="49"/>
      <c r="T7" s="49"/>
      <c r="X7" s="29" t="s">
        <v>28</v>
      </c>
      <c r="Y7" s="29" t="s">
        <v>58</v>
      </c>
      <c r="Z7" s="29">
        <v>3</v>
      </c>
      <c r="AA7" s="29"/>
      <c r="AB7" s="29"/>
      <c r="AC7" s="29"/>
      <c r="AD7" s="29"/>
    </row>
    <row r="8" spans="1:30" x14ac:dyDescent="0.25">
      <c r="A8" s="2">
        <v>4</v>
      </c>
      <c r="B8" s="5">
        <f t="shared" si="0"/>
        <v>498.35756250000009</v>
      </c>
      <c r="H8">
        <f>H7*1.75</f>
        <v>5.2881697317808971</v>
      </c>
      <c r="J8" s="49" t="s">
        <v>12</v>
      </c>
      <c r="K8" s="49"/>
      <c r="L8" s="49"/>
      <c r="N8" s="8">
        <f>N9/N10</f>
        <v>2.7760252365930601E-2</v>
      </c>
      <c r="O8" t="s">
        <v>13</v>
      </c>
      <c r="R8" s="49" t="s">
        <v>14</v>
      </c>
      <c r="S8" s="49"/>
      <c r="T8" s="49"/>
      <c r="U8" s="49"/>
      <c r="V8">
        <f xml:space="preserve"> 1000</f>
        <v>1000</v>
      </c>
      <c r="X8" s="29" t="s">
        <v>29</v>
      </c>
      <c r="Y8" s="29" t="s">
        <v>58</v>
      </c>
      <c r="Z8" s="29">
        <v>1</v>
      </c>
      <c r="AA8" s="29"/>
      <c r="AB8" s="29"/>
      <c r="AC8" s="29"/>
      <c r="AD8" s="29"/>
    </row>
    <row r="9" spans="1:30" x14ac:dyDescent="0.25">
      <c r="A9" s="2">
        <v>5</v>
      </c>
      <c r="B9" s="5">
        <f t="shared" si="0"/>
        <v>523.2754406250001</v>
      </c>
      <c r="J9" s="49" t="s">
        <v>15</v>
      </c>
      <c r="K9" s="49"/>
      <c r="L9" s="49"/>
      <c r="M9" s="49"/>
      <c r="N9" s="9">
        <v>44</v>
      </c>
      <c r="O9" t="s">
        <v>16</v>
      </c>
      <c r="R9" s="49" t="s">
        <v>17</v>
      </c>
      <c r="S9" s="49"/>
      <c r="X9" s="29" t="s">
        <v>59</v>
      </c>
      <c r="Y9" s="29" t="s">
        <v>58</v>
      </c>
      <c r="Z9" s="29">
        <v>4</v>
      </c>
      <c r="AA9" s="29"/>
      <c r="AB9" s="29"/>
      <c r="AC9" s="29"/>
      <c r="AD9" s="29"/>
    </row>
    <row r="10" spans="1:30" x14ac:dyDescent="0.25">
      <c r="A10" s="2">
        <v>6</v>
      </c>
      <c r="B10" s="5">
        <f t="shared" si="0"/>
        <v>549.43921265625011</v>
      </c>
      <c r="J10" s="49" t="s">
        <v>18</v>
      </c>
      <c r="K10" s="49"/>
      <c r="L10" s="49"/>
      <c r="N10" s="9">
        <v>1585</v>
      </c>
      <c r="O10" t="s">
        <v>16</v>
      </c>
      <c r="R10" s="49" t="s">
        <v>19</v>
      </c>
      <c r="S10" s="49"/>
      <c r="T10" s="49"/>
      <c r="X10" s="29" t="s">
        <v>60</v>
      </c>
      <c r="Y10" s="29" t="s">
        <v>58</v>
      </c>
      <c r="Z10" s="29">
        <v>5</v>
      </c>
      <c r="AA10" s="29"/>
      <c r="AB10" s="29"/>
      <c r="AC10" s="29"/>
      <c r="AD10" s="29"/>
    </row>
    <row r="11" spans="1:30" x14ac:dyDescent="0.25">
      <c r="A11" s="2">
        <v>7</v>
      </c>
      <c r="B11" s="5">
        <f t="shared" si="0"/>
        <v>576.91117328906262</v>
      </c>
      <c r="D11">
        <f>82*5</f>
        <v>410</v>
      </c>
      <c r="R11" s="60" t="s">
        <v>20</v>
      </c>
      <c r="S11" s="60"/>
      <c r="T11" s="60"/>
      <c r="V11" s="10">
        <v>0.7</v>
      </c>
      <c r="X11" s="29" t="s">
        <v>61</v>
      </c>
      <c r="Y11" s="29" t="s">
        <v>16</v>
      </c>
      <c r="Z11" s="29">
        <v>8987</v>
      </c>
      <c r="AA11" s="29"/>
      <c r="AB11" s="29"/>
      <c r="AC11" s="29"/>
      <c r="AD11" s="29"/>
    </row>
    <row r="12" spans="1:30" x14ac:dyDescent="0.25">
      <c r="A12" s="2">
        <v>8</v>
      </c>
      <c r="B12" s="5">
        <f t="shared" si="0"/>
        <v>605.75673195351578</v>
      </c>
      <c r="R12" t="s">
        <v>21</v>
      </c>
      <c r="S12">
        <f>V8*N27*(N9+M21)/(75*0.7)</f>
        <v>3.2923353323305289</v>
      </c>
      <c r="T12" t="s">
        <v>22</v>
      </c>
      <c r="X12" s="31" t="s">
        <v>62</v>
      </c>
      <c r="Y12" s="29" t="s">
        <v>16</v>
      </c>
      <c r="Z12" s="29">
        <v>500</v>
      </c>
      <c r="AA12" s="29"/>
      <c r="AB12" s="29"/>
      <c r="AC12" s="29"/>
      <c r="AD12" s="29"/>
    </row>
    <row r="13" spans="1:30" ht="15.75" x14ac:dyDescent="0.25">
      <c r="A13" s="2">
        <v>9</v>
      </c>
      <c r="B13" s="5">
        <f t="shared" si="0"/>
        <v>636.04456855119156</v>
      </c>
      <c r="J13" s="52" t="s">
        <v>23</v>
      </c>
      <c r="K13" s="52"/>
      <c r="L13" s="52"/>
      <c r="M13" s="52"/>
      <c r="N13" s="52"/>
      <c r="O13" s="52"/>
      <c r="P13" s="52"/>
      <c r="Q13" s="11"/>
      <c r="X13" s="31" t="s">
        <v>63</v>
      </c>
      <c r="Y13" s="29" t="s">
        <v>16</v>
      </c>
      <c r="Z13" s="33">
        <v>718</v>
      </c>
      <c r="AA13" s="29"/>
      <c r="AB13" s="29"/>
      <c r="AC13" s="29"/>
      <c r="AD13" s="29"/>
    </row>
    <row r="14" spans="1:30" x14ac:dyDescent="0.25">
      <c r="A14" s="2">
        <v>10</v>
      </c>
      <c r="B14" s="5">
        <f t="shared" si="0"/>
        <v>667.84679697875117</v>
      </c>
      <c r="X14" s="32" t="s">
        <v>64</v>
      </c>
      <c r="Y14" s="29" t="s">
        <v>58</v>
      </c>
      <c r="Z14" s="33">
        <v>1</v>
      </c>
      <c r="AA14" s="29"/>
      <c r="AB14" s="29"/>
      <c r="AC14" s="29"/>
      <c r="AD14" s="29"/>
    </row>
    <row r="15" spans="1:30" ht="15" customHeight="1" x14ac:dyDescent="0.25">
      <c r="A15" s="2">
        <v>11</v>
      </c>
      <c r="B15" s="5">
        <f t="shared" si="0"/>
        <v>701.23913682768875</v>
      </c>
      <c r="J15" s="12" t="s">
        <v>24</v>
      </c>
      <c r="K15" s="12" t="s">
        <v>25</v>
      </c>
      <c r="L15" s="12" t="s">
        <v>26</v>
      </c>
      <c r="M15" s="13" t="s">
        <v>27</v>
      </c>
      <c r="X15" s="34" t="s">
        <v>65</v>
      </c>
      <c r="Y15" s="29" t="s">
        <v>58</v>
      </c>
      <c r="Z15" s="33">
        <v>35</v>
      </c>
      <c r="AA15" s="29"/>
      <c r="AB15" s="29"/>
      <c r="AC15" s="29"/>
      <c r="AD15" s="29"/>
    </row>
    <row r="16" spans="1:30" ht="15" customHeight="1" x14ac:dyDescent="0.25">
      <c r="A16" s="2">
        <v>12</v>
      </c>
      <c r="B16" s="5">
        <f t="shared" si="0"/>
        <v>736.30109366907323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4" t="s">
        <v>66</v>
      </c>
      <c r="Y16" s="29" t="s">
        <v>58</v>
      </c>
      <c r="Z16" s="33">
        <v>21</v>
      </c>
      <c r="AA16" s="29"/>
      <c r="AB16" s="29"/>
      <c r="AC16" s="29"/>
      <c r="AD16" s="29"/>
    </row>
    <row r="17" spans="1:30" x14ac:dyDescent="0.25">
      <c r="A17" s="2">
        <v>13</v>
      </c>
      <c r="B17" s="5">
        <f t="shared" si="0"/>
        <v>773.11614835252692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4" t="s">
        <v>67</v>
      </c>
      <c r="Y17" s="29" t="s">
        <v>58</v>
      </c>
      <c r="Z17" s="33">
        <v>19</v>
      </c>
      <c r="AA17" s="29"/>
      <c r="AB17" s="29"/>
      <c r="AC17" s="29"/>
      <c r="AD17" s="29"/>
    </row>
    <row r="18" spans="1:30" x14ac:dyDescent="0.25">
      <c r="A18" s="2">
        <v>14</v>
      </c>
      <c r="B18" s="5">
        <f t="shared" si="0"/>
        <v>811.77195577015334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4" t="s">
        <v>96</v>
      </c>
      <c r="Y18" s="29" t="s">
        <v>58</v>
      </c>
      <c r="Z18" s="33">
        <v>2</v>
      </c>
      <c r="AA18" s="29"/>
      <c r="AB18" s="29"/>
      <c r="AC18" s="29"/>
      <c r="AD18" s="29"/>
    </row>
    <row r="19" spans="1:30" x14ac:dyDescent="0.25">
      <c r="A19" s="2">
        <v>15</v>
      </c>
      <c r="B19" s="5">
        <f t="shared" si="0"/>
        <v>852.36055355866108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2" t="s">
        <v>68</v>
      </c>
      <c r="Y19" s="29" t="s">
        <v>58</v>
      </c>
      <c r="Z19" s="33">
        <v>2</v>
      </c>
      <c r="AA19" s="29"/>
      <c r="AB19" s="29"/>
      <c r="AC19" s="29"/>
      <c r="AD19" s="29"/>
    </row>
    <row r="20" spans="1:30" x14ac:dyDescent="0.25">
      <c r="A20" s="2">
        <v>16</v>
      </c>
      <c r="B20" s="5">
        <f t="shared" si="0"/>
        <v>894.97858123659421</v>
      </c>
      <c r="J20" s="15"/>
      <c r="K20" s="16"/>
      <c r="L20" s="14"/>
      <c r="M20" s="14"/>
      <c r="X20" s="35" t="s">
        <v>69</v>
      </c>
      <c r="Y20" s="29" t="s">
        <v>58</v>
      </c>
      <c r="Z20" s="42">
        <v>1</v>
      </c>
      <c r="AA20" s="29"/>
      <c r="AB20" s="29"/>
      <c r="AC20" s="29"/>
      <c r="AD20" s="29"/>
    </row>
    <row r="21" spans="1:30" x14ac:dyDescent="0.25">
      <c r="A21" s="2">
        <v>17</v>
      </c>
      <c r="B21" s="5">
        <f t="shared" si="0"/>
        <v>939.72751029842391</v>
      </c>
      <c r="L21" s="17" t="s">
        <v>32</v>
      </c>
      <c r="M21">
        <f>SUM(M16:M20)</f>
        <v>13.200000000000001</v>
      </c>
      <c r="X21" s="29" t="s">
        <v>70</v>
      </c>
      <c r="Y21" s="29" t="s">
        <v>58</v>
      </c>
      <c r="Z21" s="36">
        <v>2</v>
      </c>
      <c r="AA21" s="29"/>
      <c r="AB21" s="29"/>
      <c r="AC21" s="29"/>
      <c r="AD21" s="29"/>
    </row>
    <row r="22" spans="1:30" x14ac:dyDescent="0.25">
      <c r="A22" s="2">
        <v>18</v>
      </c>
      <c r="B22" s="5">
        <f t="shared" si="0"/>
        <v>986.7138858133452</v>
      </c>
      <c r="X22" s="29" t="s">
        <v>71</v>
      </c>
      <c r="Y22" s="29" t="s">
        <v>58</v>
      </c>
      <c r="Z22" s="36">
        <v>3</v>
      </c>
      <c r="AA22" s="29"/>
      <c r="AB22" s="29"/>
      <c r="AC22" s="29"/>
      <c r="AD22" s="29"/>
    </row>
    <row r="23" spans="1:30" x14ac:dyDescent="0.25">
      <c r="A23" s="2">
        <v>19</v>
      </c>
      <c r="B23" s="5">
        <f t="shared" si="0"/>
        <v>1036.0495801040124</v>
      </c>
      <c r="X23" s="29"/>
      <c r="Y23" s="29"/>
      <c r="Z23" s="29"/>
      <c r="AA23" s="29"/>
      <c r="AB23" s="29"/>
      <c r="AC23" s="29"/>
      <c r="AD23" s="29"/>
    </row>
    <row r="24" spans="1:30" ht="15.75" x14ac:dyDescent="0.25">
      <c r="A24" s="18">
        <v>20</v>
      </c>
      <c r="B24" s="19">
        <f t="shared" si="0"/>
        <v>1087.8520591092131</v>
      </c>
      <c r="X24" s="30" t="s">
        <v>72</v>
      </c>
      <c r="Y24" s="30"/>
      <c r="Z24" s="30"/>
      <c r="AA24" s="29"/>
      <c r="AB24" s="29"/>
      <c r="AC24" s="29"/>
      <c r="AD24" s="29"/>
    </row>
    <row r="25" spans="1:30" x14ac:dyDescent="0.25">
      <c r="X25" s="29" t="s">
        <v>56</v>
      </c>
      <c r="Y25" s="29" t="s">
        <v>57</v>
      </c>
      <c r="Z25" s="29" t="s">
        <v>25</v>
      </c>
      <c r="AA25" s="29"/>
      <c r="AB25" s="29"/>
      <c r="AC25" s="29"/>
      <c r="AD25" s="29"/>
    </row>
    <row r="26" spans="1:30" x14ac:dyDescent="0.25">
      <c r="X26" s="29"/>
      <c r="Y26" s="29"/>
      <c r="Z26" s="29"/>
      <c r="AA26" s="29"/>
      <c r="AB26" s="29"/>
      <c r="AC26" s="29"/>
      <c r="AD26" s="29"/>
    </row>
    <row r="27" spans="1:30" x14ac:dyDescent="0.25">
      <c r="J27" t="s">
        <v>33</v>
      </c>
      <c r="N27" s="7">
        <f>H7/1000</f>
        <v>3.0218112753033701E-3</v>
      </c>
      <c r="X27" s="29" t="s">
        <v>73</v>
      </c>
      <c r="Y27" s="29" t="s">
        <v>74</v>
      </c>
      <c r="Z27" s="29">
        <v>90</v>
      </c>
      <c r="AA27" s="29"/>
      <c r="AB27" s="29"/>
      <c r="AC27" s="29"/>
      <c r="AD27" s="29"/>
    </row>
    <row r="28" spans="1:30" x14ac:dyDescent="0.25">
      <c r="J28" s="61" t="s">
        <v>34</v>
      </c>
      <c r="K28" s="61"/>
      <c r="L28" s="61"/>
      <c r="N28" s="7">
        <v>140</v>
      </c>
      <c r="X28" s="29" t="s">
        <v>75</v>
      </c>
      <c r="Y28" s="29" t="s">
        <v>76</v>
      </c>
      <c r="Z28" s="29">
        <v>8</v>
      </c>
      <c r="AA28" s="29"/>
      <c r="AB28" s="29"/>
      <c r="AC28" s="29"/>
      <c r="AD28" s="29"/>
    </row>
    <row r="29" spans="1:30" x14ac:dyDescent="0.25">
      <c r="J29" t="s">
        <v>35</v>
      </c>
      <c r="N29">
        <v>0.05</v>
      </c>
      <c r="X29" s="29" t="s">
        <v>77</v>
      </c>
      <c r="Y29" s="29" t="s">
        <v>78</v>
      </c>
      <c r="Z29" s="29">
        <v>380</v>
      </c>
      <c r="AA29" s="29"/>
      <c r="AB29" s="29"/>
      <c r="AC29" s="29"/>
      <c r="AD29" s="29"/>
    </row>
    <row r="30" spans="1:30" x14ac:dyDescent="0.25">
      <c r="J30" s="49" t="s">
        <v>36</v>
      </c>
      <c r="K30" s="49"/>
      <c r="N30">
        <f>M21</f>
        <v>13.200000000000001</v>
      </c>
      <c r="X30" s="29" t="s">
        <v>79</v>
      </c>
      <c r="Y30" s="29" t="s">
        <v>80</v>
      </c>
      <c r="Z30" s="29">
        <v>450</v>
      </c>
      <c r="AA30" s="29"/>
      <c r="AB30" s="29"/>
      <c r="AC30" s="29"/>
      <c r="AD30" s="29"/>
    </row>
    <row r="31" spans="1:30" x14ac:dyDescent="0.25">
      <c r="J31" s="49" t="s">
        <v>37</v>
      </c>
      <c r="K31" s="49"/>
      <c r="N31">
        <f>10.643*((N27/N28)^1.852)*(N30/(N29^4.87))</f>
        <v>0.69579300594229165</v>
      </c>
      <c r="X31" s="29" t="s">
        <v>81</v>
      </c>
      <c r="Y31" s="29" t="s">
        <v>80</v>
      </c>
      <c r="Z31" s="29">
        <v>450</v>
      </c>
      <c r="AA31" s="29"/>
      <c r="AB31" s="29"/>
      <c r="AC31" s="29"/>
      <c r="AD31" s="29"/>
    </row>
    <row r="32" spans="1:30" x14ac:dyDescent="0.25">
      <c r="X32" s="29" t="s">
        <v>82</v>
      </c>
      <c r="Y32" s="29" t="s">
        <v>78</v>
      </c>
      <c r="Z32" s="29">
        <v>10</v>
      </c>
      <c r="AA32" s="29"/>
      <c r="AB32" s="29"/>
      <c r="AC32" s="29"/>
      <c r="AD32" s="29"/>
    </row>
    <row r="33" spans="10:30" x14ac:dyDescent="0.25">
      <c r="X33" s="29" t="s">
        <v>83</v>
      </c>
      <c r="Y33" s="29" t="s">
        <v>76</v>
      </c>
      <c r="Z33" s="29">
        <v>140</v>
      </c>
      <c r="AA33" s="29"/>
      <c r="AB33" s="29"/>
      <c r="AC33" s="29"/>
      <c r="AD33" s="29"/>
    </row>
    <row r="34" spans="10:30" ht="15.75" x14ac:dyDescent="0.25">
      <c r="J34" s="52" t="s">
        <v>38</v>
      </c>
      <c r="K34" s="52"/>
      <c r="L34" s="52"/>
      <c r="X34" s="29"/>
      <c r="Y34" s="29"/>
      <c r="Z34" s="29"/>
      <c r="AA34" s="29"/>
      <c r="AB34" s="29"/>
      <c r="AC34" s="29"/>
      <c r="AD34" s="29"/>
    </row>
    <row r="35" spans="10:30" ht="15.75" x14ac:dyDescent="0.25">
      <c r="X35" s="28" t="s">
        <v>84</v>
      </c>
      <c r="Y35" s="37"/>
      <c r="Z35" s="37"/>
      <c r="AA35" s="29"/>
      <c r="AB35" s="29"/>
      <c r="AC35" s="29"/>
      <c r="AD35" s="29"/>
    </row>
    <row r="36" spans="10:30" x14ac:dyDescent="0.25">
      <c r="X36" s="29"/>
      <c r="Y36" s="29" t="s">
        <v>57</v>
      </c>
      <c r="Z36" s="29" t="s">
        <v>25</v>
      </c>
      <c r="AA36" s="29"/>
      <c r="AB36" s="29"/>
      <c r="AC36" s="29">
        <v>0.48</v>
      </c>
      <c r="AD36" s="29"/>
    </row>
    <row r="37" spans="10:30" x14ac:dyDescent="0.25">
      <c r="X37" s="38" t="s">
        <v>85</v>
      </c>
      <c r="Y37" s="29" t="s">
        <v>16</v>
      </c>
      <c r="Z37" s="29">
        <f>Z11</f>
        <v>8987</v>
      </c>
      <c r="AA37" s="29">
        <f>SUM(Z37:Z39)</f>
        <v>10205</v>
      </c>
      <c r="AB37" s="29"/>
      <c r="AC37" s="29"/>
      <c r="AD37" s="29"/>
    </row>
    <row r="38" spans="10:30" x14ac:dyDescent="0.25">
      <c r="X38" s="39" t="s">
        <v>86</v>
      </c>
      <c r="Y38" s="29" t="s">
        <v>16</v>
      </c>
      <c r="Z38" s="29">
        <f>Z12</f>
        <v>500</v>
      </c>
      <c r="AA38" s="29"/>
      <c r="AB38" s="29">
        <f>0.75*AA37</f>
        <v>7653.75</v>
      </c>
      <c r="AC38" s="29"/>
      <c r="AD38" s="29"/>
    </row>
    <row r="39" spans="10:30" x14ac:dyDescent="0.25">
      <c r="X39" s="39" t="s">
        <v>87</v>
      </c>
      <c r="Y39" s="29" t="s">
        <v>16</v>
      </c>
      <c r="Z39" s="29">
        <f>Z13</f>
        <v>718</v>
      </c>
      <c r="AA39" s="29"/>
      <c r="AB39" s="29">
        <f>0.2*AA37</f>
        <v>2041</v>
      </c>
      <c r="AC39" s="29"/>
      <c r="AD39" s="29"/>
    </row>
    <row r="40" spans="10:30" ht="30" x14ac:dyDescent="0.25">
      <c r="X40" s="40" t="s">
        <v>88</v>
      </c>
      <c r="Y40" s="40" t="s">
        <v>76</v>
      </c>
      <c r="Z40" s="29">
        <f>AB38*AC36</f>
        <v>3673.7999999999997</v>
      </c>
      <c r="AA40" s="29"/>
      <c r="AB40" s="29">
        <f>0.05*AA37</f>
        <v>510.25</v>
      </c>
      <c r="AC40" s="29"/>
      <c r="AD40" s="29"/>
    </row>
    <row r="41" spans="10:30" x14ac:dyDescent="0.25">
      <c r="X41" s="29" t="s">
        <v>89</v>
      </c>
      <c r="Y41" s="40" t="s">
        <v>76</v>
      </c>
      <c r="Z41" s="29">
        <f>AB39*AC36</f>
        <v>979.68</v>
      </c>
      <c r="AA41" s="29"/>
      <c r="AB41" s="29"/>
      <c r="AC41" s="29"/>
      <c r="AD41" s="29"/>
    </row>
    <row r="42" spans="10:30" x14ac:dyDescent="0.25">
      <c r="K42" t="s">
        <v>39</v>
      </c>
      <c r="L42">
        <f>((10.643*((N27/N28)^1.852))/N8)^(1/4.87)</f>
        <v>5.7036558629532531E-2</v>
      </c>
      <c r="M42" t="s">
        <v>16</v>
      </c>
      <c r="X42" s="29" t="s">
        <v>90</v>
      </c>
      <c r="Y42" s="40" t="s">
        <v>76</v>
      </c>
      <c r="Z42" s="29">
        <f>AB40*AC36</f>
        <v>244.92</v>
      </c>
      <c r="AA42" s="29"/>
      <c r="AB42" s="29"/>
      <c r="AC42" s="29"/>
      <c r="AD42" s="29"/>
    </row>
    <row r="43" spans="10:30" ht="45" x14ac:dyDescent="0.25">
      <c r="X43" s="41" t="s">
        <v>91</v>
      </c>
      <c r="Y43" s="29" t="s">
        <v>58</v>
      </c>
      <c r="Z43" s="29">
        <v>1</v>
      </c>
      <c r="AA43" s="29"/>
      <c r="AB43" s="29"/>
      <c r="AC43" s="29"/>
      <c r="AD43" s="29"/>
    </row>
    <row r="44" spans="10:30" x14ac:dyDescent="0.25">
      <c r="X44" s="29" t="s">
        <v>92</v>
      </c>
      <c r="Y44" s="29" t="s">
        <v>93</v>
      </c>
      <c r="Z44" s="29">
        <v>300</v>
      </c>
      <c r="AA44" s="29"/>
      <c r="AB44" s="29"/>
      <c r="AC44" s="29"/>
      <c r="AD44" s="29"/>
    </row>
    <row r="45" spans="10:30" x14ac:dyDescent="0.25">
      <c r="J45" s="56" t="s">
        <v>40</v>
      </c>
      <c r="K45" s="56"/>
      <c r="L45" s="56"/>
      <c r="M45" s="56"/>
      <c r="N45" s="56"/>
      <c r="X45" s="29" t="s">
        <v>94</v>
      </c>
      <c r="Y45" s="29" t="s">
        <v>93</v>
      </c>
      <c r="Z45" s="29">
        <v>90</v>
      </c>
      <c r="AA45" s="29"/>
      <c r="AB45" s="29"/>
      <c r="AC45" s="29"/>
      <c r="AD45" s="29"/>
    </row>
    <row r="46" spans="10:30" x14ac:dyDescent="0.25">
      <c r="J46" s="56"/>
      <c r="K46" s="56"/>
      <c r="L46" s="56"/>
      <c r="M46" s="56"/>
      <c r="N46" s="56"/>
      <c r="X46" s="29" t="s">
        <v>95</v>
      </c>
      <c r="Y46" s="29" t="s">
        <v>93</v>
      </c>
      <c r="Z46" s="29">
        <v>400</v>
      </c>
      <c r="AA46" s="29"/>
      <c r="AB46" s="29"/>
      <c r="AC46" s="29"/>
      <c r="AD46" s="29"/>
    </row>
    <row r="47" spans="10:30" x14ac:dyDescent="0.25">
      <c r="J47" s="56"/>
      <c r="K47" s="56"/>
      <c r="L47" s="56"/>
      <c r="M47" s="56"/>
      <c r="N47" s="56"/>
    </row>
    <row r="50" spans="10:14" x14ac:dyDescent="0.25">
      <c r="J50" s="57" t="s">
        <v>41</v>
      </c>
      <c r="K50" s="57"/>
      <c r="L50" s="57"/>
      <c r="M50" s="57"/>
      <c r="N50" s="57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8" t="s">
        <v>45</v>
      </c>
      <c r="K58" s="58"/>
      <c r="L58" s="58"/>
      <c r="M58" s="58"/>
      <c r="N58" s="58"/>
    </row>
    <row r="59" spans="10:14" x14ac:dyDescent="0.25">
      <c r="J59" s="59" t="s">
        <v>46</v>
      </c>
      <c r="K59" s="59"/>
      <c r="L59" s="59"/>
      <c r="M59" s="59"/>
      <c r="N59" s="59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5.5469904197641202E-2</v>
      </c>
    </row>
  </sheetData>
  <mergeCells count="24">
    <mergeCell ref="X1:Z1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J3:N3"/>
    <mergeCell ref="R7:T7"/>
    <mergeCell ref="J8:L8"/>
    <mergeCell ref="R8:U8"/>
    <mergeCell ref="J9:M9"/>
    <mergeCell ref="R9:S9"/>
    <mergeCell ref="A1:C1"/>
    <mergeCell ref="E1:H1"/>
    <mergeCell ref="J1:O1"/>
    <mergeCell ref="R1:U1"/>
    <mergeCell ref="A2:B2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4097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abSelected="1" workbookViewId="0">
      <selection activeCell="A2" sqref="A2:B2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81.42578125" customWidth="1"/>
    <col min="26" max="26" width="11.42578125" bestFit="1" customWidth="1"/>
    <col min="27" max="29" width="9.140625" hidden="1" customWidth="1"/>
  </cols>
  <sheetData>
    <row r="1" spans="1:30" ht="15.75" x14ac:dyDescent="0.25">
      <c r="A1" s="50" t="s">
        <v>0</v>
      </c>
      <c r="B1" s="51"/>
      <c r="C1" s="51"/>
      <c r="D1" s="1"/>
      <c r="E1" s="52" t="s">
        <v>1</v>
      </c>
      <c r="F1" s="52"/>
      <c r="G1" s="52"/>
      <c r="H1" s="53"/>
      <c r="J1" s="52" t="s">
        <v>2</v>
      </c>
      <c r="K1" s="52"/>
      <c r="L1" s="52"/>
      <c r="M1" s="52"/>
      <c r="N1" s="52"/>
      <c r="O1" s="52"/>
      <c r="R1" s="54" t="s">
        <v>3</v>
      </c>
      <c r="S1" s="54"/>
      <c r="T1" s="54"/>
      <c r="U1" s="54"/>
      <c r="X1" s="47" t="s">
        <v>54</v>
      </c>
      <c r="Y1" s="47"/>
      <c r="Z1" s="47"/>
      <c r="AA1" s="46"/>
      <c r="AB1" s="46"/>
      <c r="AC1" s="46"/>
      <c r="AD1" s="46"/>
    </row>
    <row r="2" spans="1:30" x14ac:dyDescent="0.25">
      <c r="A2" s="55" t="s">
        <v>49</v>
      </c>
      <c r="B2" s="49"/>
      <c r="X2" s="46"/>
      <c r="Y2" s="46"/>
      <c r="Z2" s="46"/>
      <c r="AA2" s="46"/>
      <c r="AB2" s="46"/>
      <c r="AC2" s="46"/>
      <c r="AD2" s="46"/>
    </row>
    <row r="3" spans="1:30" ht="15.75" x14ac:dyDescent="0.25">
      <c r="A3" s="2" t="s">
        <v>4</v>
      </c>
      <c r="B3" s="3" t="s">
        <v>5</v>
      </c>
      <c r="J3" s="52" t="s">
        <v>6</v>
      </c>
      <c r="K3" s="52"/>
      <c r="L3" s="52"/>
      <c r="M3" s="52"/>
      <c r="N3" s="52"/>
      <c r="X3" s="48" t="s">
        <v>55</v>
      </c>
      <c r="Y3" s="46"/>
      <c r="Z3" s="46"/>
      <c r="AA3" s="46"/>
      <c r="AB3" s="46"/>
      <c r="AC3" s="46"/>
      <c r="AD3" s="46"/>
    </row>
    <row r="4" spans="1:30" x14ac:dyDescent="0.25">
      <c r="A4" s="2">
        <v>0</v>
      </c>
      <c r="B4" s="4">
        <v>105</v>
      </c>
      <c r="X4" s="46"/>
      <c r="Y4" s="46"/>
      <c r="Z4" s="46"/>
      <c r="AA4" s="46"/>
      <c r="AB4" s="46"/>
      <c r="AC4" s="46"/>
      <c r="AD4" s="46"/>
    </row>
    <row r="5" spans="1:30" x14ac:dyDescent="0.25">
      <c r="A5" s="2">
        <v>1</v>
      </c>
      <c r="B5" s="5">
        <f>B4*1.05</f>
        <v>110.25</v>
      </c>
      <c r="X5" s="46" t="s">
        <v>56</v>
      </c>
      <c r="Y5" s="46" t="s">
        <v>57</v>
      </c>
      <c r="Z5" s="46" t="s">
        <v>25</v>
      </c>
      <c r="AA5" s="46"/>
      <c r="AB5" s="46"/>
      <c r="AC5" s="46"/>
      <c r="AD5" s="46"/>
    </row>
    <row r="6" spans="1:30" x14ac:dyDescent="0.25">
      <c r="A6" s="2">
        <v>2</v>
      </c>
      <c r="B6" s="5">
        <f t="shared" ref="B6:B24" si="0">B5*1.05</f>
        <v>115.7625</v>
      </c>
      <c r="E6" t="s">
        <v>7</v>
      </c>
      <c r="F6" t="s">
        <v>8</v>
      </c>
      <c r="G6" t="s">
        <v>9</v>
      </c>
      <c r="H6" t="s">
        <v>10</v>
      </c>
      <c r="X6" s="46"/>
      <c r="Y6" s="46"/>
      <c r="Z6" s="46"/>
      <c r="AA6" s="46"/>
      <c r="AB6" s="46"/>
      <c r="AC6" s="46"/>
      <c r="AD6" s="46"/>
    </row>
    <row r="7" spans="1:30" x14ac:dyDescent="0.25">
      <c r="A7" s="2">
        <v>3</v>
      </c>
      <c r="B7" s="5">
        <f t="shared" si="0"/>
        <v>121.55062500000001</v>
      </c>
      <c r="E7">
        <v>1.2</v>
      </c>
      <c r="F7">
        <v>200</v>
      </c>
      <c r="G7" s="6">
        <f>B24</f>
        <v>278.5962590401644</v>
      </c>
      <c r="H7" s="7">
        <f>(E7*F7*G7)/86400</f>
        <v>0.77387849733378999</v>
      </c>
      <c r="R7" s="49" t="s">
        <v>11</v>
      </c>
      <c r="S7" s="49"/>
      <c r="T7" s="49"/>
      <c r="X7" s="46" t="s">
        <v>28</v>
      </c>
      <c r="Y7" s="46" t="s">
        <v>58</v>
      </c>
      <c r="Z7" s="46">
        <v>3</v>
      </c>
      <c r="AA7" s="46"/>
      <c r="AB7" s="46"/>
      <c r="AC7" s="46"/>
      <c r="AD7" s="46"/>
    </row>
    <row r="8" spans="1:30" x14ac:dyDescent="0.25">
      <c r="A8" s="2">
        <v>4</v>
      </c>
      <c r="B8" s="5">
        <f t="shared" si="0"/>
        <v>127.62815625000002</v>
      </c>
      <c r="H8">
        <f>H7*1.75</f>
        <v>1.3542873703341325</v>
      </c>
      <c r="J8" s="49" t="s">
        <v>12</v>
      </c>
      <c r="K8" s="49"/>
      <c r="L8" s="49"/>
      <c r="N8" s="8">
        <f>N9/N10</f>
        <v>4.157706093189964E-2</v>
      </c>
      <c r="O8" t="s">
        <v>13</v>
      </c>
      <c r="R8" s="49" t="s">
        <v>14</v>
      </c>
      <c r="S8" s="49"/>
      <c r="T8" s="49"/>
      <c r="U8" s="49"/>
      <c r="V8">
        <f xml:space="preserve"> 1000</f>
        <v>1000</v>
      </c>
      <c r="X8" s="46" t="s">
        <v>29</v>
      </c>
      <c r="Y8" s="46" t="s">
        <v>58</v>
      </c>
      <c r="Z8" s="46">
        <v>1</v>
      </c>
      <c r="AA8" s="46"/>
      <c r="AB8" s="46"/>
      <c r="AC8" s="46"/>
      <c r="AD8" s="46"/>
    </row>
    <row r="9" spans="1:30" x14ac:dyDescent="0.25">
      <c r="A9" s="2">
        <v>5</v>
      </c>
      <c r="B9" s="5">
        <f t="shared" si="0"/>
        <v>134.00956406250003</v>
      </c>
      <c r="J9" s="49" t="s">
        <v>15</v>
      </c>
      <c r="K9" s="49"/>
      <c r="L9" s="49"/>
      <c r="M9" s="49"/>
      <c r="N9" s="9">
        <v>58</v>
      </c>
      <c r="O9" t="s">
        <v>16</v>
      </c>
      <c r="R9" s="49" t="s">
        <v>17</v>
      </c>
      <c r="S9" s="49"/>
      <c r="X9" s="46" t="s">
        <v>59</v>
      </c>
      <c r="Y9" s="46" t="s">
        <v>58</v>
      </c>
      <c r="Z9" s="46">
        <v>5</v>
      </c>
      <c r="AA9" s="46"/>
      <c r="AB9" s="46"/>
      <c r="AC9" s="46"/>
      <c r="AD9" s="46"/>
    </row>
    <row r="10" spans="1:30" x14ac:dyDescent="0.25">
      <c r="A10" s="2">
        <v>6</v>
      </c>
      <c r="B10" s="5">
        <f t="shared" si="0"/>
        <v>140.71004226562505</v>
      </c>
      <c r="J10" s="49" t="s">
        <v>18</v>
      </c>
      <c r="K10" s="49"/>
      <c r="L10" s="49"/>
      <c r="N10" s="9">
        <v>1395</v>
      </c>
      <c r="O10" t="s">
        <v>16</v>
      </c>
      <c r="R10" s="49" t="s">
        <v>19</v>
      </c>
      <c r="S10" s="49"/>
      <c r="T10" s="49"/>
      <c r="X10" s="46" t="s">
        <v>60</v>
      </c>
      <c r="Y10" s="46" t="s">
        <v>58</v>
      </c>
      <c r="Z10" s="46">
        <v>10</v>
      </c>
      <c r="AA10" s="46"/>
      <c r="AB10" s="46"/>
      <c r="AC10" s="46"/>
      <c r="AD10" s="46"/>
    </row>
    <row r="11" spans="1:30" x14ac:dyDescent="0.25">
      <c r="A11" s="2">
        <v>7</v>
      </c>
      <c r="B11" s="5">
        <f t="shared" si="0"/>
        <v>147.74554437890632</v>
      </c>
      <c r="R11" s="60" t="s">
        <v>20</v>
      </c>
      <c r="S11" s="60"/>
      <c r="T11" s="60"/>
      <c r="V11" s="10">
        <v>0.7</v>
      </c>
      <c r="X11" s="46" t="s">
        <v>61</v>
      </c>
      <c r="Y11" s="46" t="s">
        <v>16</v>
      </c>
      <c r="Z11" s="46">
        <v>10881</v>
      </c>
      <c r="AA11" s="46"/>
      <c r="AB11" s="46"/>
      <c r="AC11" s="46"/>
      <c r="AD11" s="46"/>
    </row>
    <row r="12" spans="1:30" x14ac:dyDescent="0.25">
      <c r="A12" s="2">
        <v>8</v>
      </c>
      <c r="B12" s="5">
        <f t="shared" si="0"/>
        <v>155.13282159785163</v>
      </c>
      <c r="R12" t="s">
        <v>21</v>
      </c>
      <c r="S12">
        <f>V8*N27*(N9+M21)/(75*0.7)</f>
        <v>1.8366716336721949</v>
      </c>
      <c r="T12" t="s">
        <v>22</v>
      </c>
      <c r="X12" s="31" t="s">
        <v>62</v>
      </c>
      <c r="Y12" s="46" t="s">
        <v>16</v>
      </c>
      <c r="Z12" s="46">
        <v>1188</v>
      </c>
      <c r="AA12" s="46"/>
      <c r="AB12" s="46"/>
      <c r="AC12" s="46"/>
      <c r="AD12" s="46"/>
    </row>
    <row r="13" spans="1:30" ht="15.75" x14ac:dyDescent="0.25">
      <c r="A13" s="2">
        <v>9</v>
      </c>
      <c r="B13" s="5">
        <f t="shared" si="0"/>
        <v>162.88946267774421</v>
      </c>
      <c r="D13">
        <f>21*5</f>
        <v>105</v>
      </c>
      <c r="J13" s="52" t="s">
        <v>23</v>
      </c>
      <c r="K13" s="52"/>
      <c r="L13" s="52"/>
      <c r="M13" s="52"/>
      <c r="N13" s="52"/>
      <c r="O13" s="52"/>
      <c r="P13" s="52"/>
      <c r="Q13" s="11"/>
      <c r="X13" s="31" t="s">
        <v>63</v>
      </c>
      <c r="Y13" s="46" t="s">
        <v>16</v>
      </c>
      <c r="Z13" s="46">
        <v>663</v>
      </c>
      <c r="AA13" s="46"/>
      <c r="AB13" s="46"/>
      <c r="AC13" s="46"/>
      <c r="AD13" s="46"/>
    </row>
    <row r="14" spans="1:30" x14ac:dyDescent="0.25">
      <c r="A14" s="2">
        <v>10</v>
      </c>
      <c r="B14" s="5">
        <f t="shared" si="0"/>
        <v>171.03393581163144</v>
      </c>
      <c r="X14" s="32" t="s">
        <v>64</v>
      </c>
      <c r="Y14" s="46" t="s">
        <v>58</v>
      </c>
      <c r="Z14" s="33">
        <v>1</v>
      </c>
      <c r="AA14" s="46"/>
      <c r="AB14" s="46"/>
      <c r="AC14" s="46"/>
      <c r="AD14" s="46"/>
    </row>
    <row r="15" spans="1:30" ht="15" customHeight="1" x14ac:dyDescent="0.25">
      <c r="A15" s="2">
        <v>11</v>
      </c>
      <c r="B15" s="5">
        <f t="shared" si="0"/>
        <v>179.58563260221302</v>
      </c>
      <c r="J15" s="12" t="s">
        <v>24</v>
      </c>
      <c r="K15" s="12" t="s">
        <v>25</v>
      </c>
      <c r="L15" s="12" t="s">
        <v>26</v>
      </c>
      <c r="M15" s="13" t="s">
        <v>27</v>
      </c>
      <c r="X15" s="34" t="s">
        <v>65</v>
      </c>
      <c r="Y15" s="46" t="s">
        <v>58</v>
      </c>
      <c r="Z15" s="33">
        <v>24</v>
      </c>
      <c r="AA15" s="46"/>
      <c r="AB15" s="46"/>
      <c r="AC15" s="46"/>
      <c r="AD15" s="46"/>
    </row>
    <row r="16" spans="1:30" ht="15" customHeight="1" x14ac:dyDescent="0.25">
      <c r="A16" s="2">
        <v>12</v>
      </c>
      <c r="B16" s="5">
        <f t="shared" si="0"/>
        <v>188.56491423232367</v>
      </c>
      <c r="J16" s="12" t="s">
        <v>28</v>
      </c>
      <c r="K16" s="14">
        <v>1</v>
      </c>
      <c r="L16" s="14">
        <v>0.4</v>
      </c>
      <c r="M16" s="14">
        <f>L16*K16</f>
        <v>0.4</v>
      </c>
      <c r="Q16" s="46"/>
      <c r="X16" s="34" t="s">
        <v>66</v>
      </c>
      <c r="Y16" s="46" t="s">
        <v>58</v>
      </c>
      <c r="Z16" s="46">
        <v>21</v>
      </c>
      <c r="AA16" s="46"/>
      <c r="AB16" s="46"/>
      <c r="AC16" s="46"/>
      <c r="AD16" s="46"/>
    </row>
    <row r="17" spans="1:30" x14ac:dyDescent="0.25">
      <c r="A17" s="2">
        <v>13</v>
      </c>
      <c r="B17" s="5">
        <f t="shared" si="0"/>
        <v>197.99315994393987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4" t="s">
        <v>96</v>
      </c>
      <c r="Y17" s="46" t="s">
        <v>58</v>
      </c>
      <c r="Z17" s="46">
        <v>4</v>
      </c>
      <c r="AA17" s="46"/>
      <c r="AB17" s="46"/>
      <c r="AC17" s="46"/>
      <c r="AD17" s="46"/>
    </row>
    <row r="18" spans="1:30" x14ac:dyDescent="0.25">
      <c r="A18" s="2">
        <v>14</v>
      </c>
      <c r="B18" s="5">
        <f t="shared" si="0"/>
        <v>207.89281794113688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4" t="s">
        <v>67</v>
      </c>
      <c r="Y18" s="46" t="s">
        <v>58</v>
      </c>
      <c r="Z18" s="33">
        <v>17</v>
      </c>
      <c r="AA18" s="46"/>
      <c r="AB18" s="46"/>
      <c r="AC18" s="46"/>
      <c r="AD18" s="46"/>
    </row>
    <row r="19" spans="1:30" x14ac:dyDescent="0.25">
      <c r="A19" s="2">
        <v>15</v>
      </c>
      <c r="B19" s="5">
        <f t="shared" si="0"/>
        <v>218.28745883819374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2" t="s">
        <v>68</v>
      </c>
      <c r="Y19" s="46" t="s">
        <v>58</v>
      </c>
      <c r="Z19" s="33">
        <v>4</v>
      </c>
      <c r="AA19" s="46"/>
      <c r="AB19" s="46"/>
      <c r="AC19" s="46"/>
      <c r="AD19" s="46"/>
    </row>
    <row r="20" spans="1:30" x14ac:dyDescent="0.25">
      <c r="A20" s="2">
        <v>16</v>
      </c>
      <c r="B20" s="5">
        <f t="shared" si="0"/>
        <v>229.20183178010345</v>
      </c>
      <c r="J20" s="15"/>
      <c r="K20" s="16"/>
      <c r="L20" s="14"/>
      <c r="M20" s="14"/>
      <c r="X20" s="35" t="s">
        <v>69</v>
      </c>
      <c r="Y20" s="46" t="s">
        <v>58</v>
      </c>
      <c r="Z20" s="36">
        <v>1</v>
      </c>
      <c r="AA20" s="46"/>
      <c r="AB20" s="46"/>
      <c r="AC20" s="46"/>
      <c r="AD20" s="46"/>
    </row>
    <row r="21" spans="1:30" x14ac:dyDescent="0.25">
      <c r="A21" s="2">
        <v>17</v>
      </c>
      <c r="B21" s="5">
        <f t="shared" si="0"/>
        <v>240.66192336910862</v>
      </c>
      <c r="L21" s="17" t="s">
        <v>32</v>
      </c>
      <c r="M21">
        <f>SUM(M16:M20)</f>
        <v>13.200000000000001</v>
      </c>
      <c r="X21" s="46" t="s">
        <v>70</v>
      </c>
      <c r="Y21" s="46" t="s">
        <v>58</v>
      </c>
      <c r="Z21" s="36">
        <v>2</v>
      </c>
      <c r="AA21" s="46"/>
      <c r="AB21" s="46"/>
      <c r="AC21" s="46"/>
      <c r="AD21" s="46"/>
    </row>
    <row r="22" spans="1:30" x14ac:dyDescent="0.25">
      <c r="A22" s="2">
        <v>18</v>
      </c>
      <c r="B22" s="5">
        <f t="shared" si="0"/>
        <v>252.69501953756406</v>
      </c>
      <c r="X22" s="46" t="s">
        <v>71</v>
      </c>
      <c r="Y22" s="46" t="s">
        <v>58</v>
      </c>
      <c r="Z22" s="36">
        <v>4</v>
      </c>
      <c r="AA22" s="46"/>
      <c r="AB22" s="46"/>
      <c r="AC22" s="46"/>
      <c r="AD22" s="46"/>
    </row>
    <row r="23" spans="1:30" ht="15.75" x14ac:dyDescent="0.25">
      <c r="A23" s="2">
        <v>19</v>
      </c>
      <c r="B23" s="5">
        <f t="shared" si="0"/>
        <v>265.32977051444226</v>
      </c>
      <c r="X23" s="48" t="s">
        <v>72</v>
      </c>
      <c r="Y23" s="48"/>
      <c r="Z23" s="48"/>
      <c r="AA23" s="46"/>
      <c r="AB23" s="46"/>
      <c r="AC23" s="46"/>
      <c r="AD23" s="46"/>
    </row>
    <row r="24" spans="1:30" x14ac:dyDescent="0.25">
      <c r="A24" s="18">
        <v>20</v>
      </c>
      <c r="B24" s="19">
        <f t="shared" si="0"/>
        <v>278.5962590401644</v>
      </c>
      <c r="X24" s="46" t="s">
        <v>56</v>
      </c>
      <c r="Y24" s="46" t="s">
        <v>57</v>
      </c>
      <c r="Z24" s="46" t="s">
        <v>25</v>
      </c>
      <c r="AA24" s="46"/>
      <c r="AB24" s="46"/>
      <c r="AC24" s="46"/>
      <c r="AD24" s="46"/>
    </row>
    <row r="25" spans="1:30" x14ac:dyDescent="0.25">
      <c r="X25" s="46"/>
      <c r="Y25" s="46"/>
      <c r="Z25" s="46"/>
      <c r="AA25" s="46"/>
      <c r="AB25" s="46"/>
      <c r="AC25" s="46"/>
      <c r="AD25" s="46"/>
    </row>
    <row r="26" spans="1:30" x14ac:dyDescent="0.25">
      <c r="X26" s="46" t="s">
        <v>73</v>
      </c>
      <c r="Y26" s="46" t="s">
        <v>74</v>
      </c>
      <c r="Z26" s="46">
        <v>90</v>
      </c>
      <c r="AA26" s="46"/>
      <c r="AB26" s="46"/>
      <c r="AC26" s="46"/>
      <c r="AD26" s="46"/>
    </row>
    <row r="27" spans="1:30" x14ac:dyDescent="0.25">
      <c r="J27" t="s">
        <v>33</v>
      </c>
      <c r="N27" s="7">
        <f>H8/1000</f>
        <v>1.3542873703341325E-3</v>
      </c>
      <c r="X27" s="46" t="s">
        <v>75</v>
      </c>
      <c r="Y27" s="46" t="s">
        <v>76</v>
      </c>
      <c r="Z27" s="46">
        <v>8</v>
      </c>
      <c r="AA27" s="46"/>
      <c r="AB27" s="46"/>
      <c r="AC27" s="46"/>
      <c r="AD27" s="46"/>
    </row>
    <row r="28" spans="1:30" x14ac:dyDescent="0.25">
      <c r="J28" s="61" t="s">
        <v>34</v>
      </c>
      <c r="K28" s="61"/>
      <c r="L28" s="61"/>
      <c r="N28" s="7">
        <v>140</v>
      </c>
      <c r="X28" s="46" t="s">
        <v>77</v>
      </c>
      <c r="Y28" s="46" t="s">
        <v>78</v>
      </c>
      <c r="Z28" s="46">
        <v>380</v>
      </c>
      <c r="AA28" s="46"/>
      <c r="AB28" s="46"/>
      <c r="AC28" s="46"/>
      <c r="AD28" s="46"/>
    </row>
    <row r="29" spans="1:30" x14ac:dyDescent="0.25">
      <c r="J29" t="s">
        <v>35</v>
      </c>
      <c r="N29">
        <v>0.05</v>
      </c>
      <c r="X29" s="46" t="s">
        <v>79</v>
      </c>
      <c r="Y29" s="46" t="s">
        <v>80</v>
      </c>
      <c r="Z29" s="46">
        <v>450</v>
      </c>
      <c r="AA29" s="46"/>
      <c r="AB29" s="46"/>
      <c r="AC29" s="46"/>
      <c r="AD29" s="46"/>
    </row>
    <row r="30" spans="1:30" x14ac:dyDescent="0.25">
      <c r="J30" s="49" t="s">
        <v>36</v>
      </c>
      <c r="K30" s="49"/>
      <c r="N30">
        <f>M21</f>
        <v>13.200000000000001</v>
      </c>
      <c r="X30" s="46" t="s">
        <v>81</v>
      </c>
      <c r="Y30" s="46" t="s">
        <v>80</v>
      </c>
      <c r="Z30" s="46">
        <v>450</v>
      </c>
      <c r="AA30" s="46"/>
      <c r="AB30" s="46"/>
      <c r="AC30" s="46"/>
      <c r="AD30" s="46"/>
    </row>
    <row r="31" spans="1:30" x14ac:dyDescent="0.25">
      <c r="J31" s="49" t="s">
        <v>37</v>
      </c>
      <c r="K31" s="49"/>
      <c r="N31">
        <f>10.643*((N27/N28)^1.852)*(N30/(N29^4.87))</f>
        <v>0.15738140001547904</v>
      </c>
      <c r="X31" s="46" t="s">
        <v>82</v>
      </c>
      <c r="Y31" s="46" t="s">
        <v>78</v>
      </c>
      <c r="Z31" s="46">
        <v>10</v>
      </c>
      <c r="AA31" s="46"/>
      <c r="AB31" s="46"/>
      <c r="AC31" s="46"/>
      <c r="AD31" s="46"/>
    </row>
    <row r="32" spans="1:30" x14ac:dyDescent="0.25">
      <c r="X32" s="46" t="s">
        <v>83</v>
      </c>
      <c r="Y32" s="46" t="s">
        <v>76</v>
      </c>
      <c r="Z32" s="46">
        <v>140</v>
      </c>
      <c r="AA32" s="46"/>
      <c r="AB32" s="46"/>
      <c r="AC32" s="46"/>
      <c r="AD32" s="46"/>
    </row>
    <row r="33" spans="10:30" ht="15.75" x14ac:dyDescent="0.25">
      <c r="X33" s="47" t="s">
        <v>84</v>
      </c>
      <c r="Y33" s="37"/>
      <c r="Z33" s="37"/>
      <c r="AA33" s="46"/>
      <c r="AB33" s="46"/>
      <c r="AC33" s="46">
        <f>0.8*0.6</f>
        <v>0.48</v>
      </c>
      <c r="AD33" s="46"/>
    </row>
    <row r="34" spans="10:30" ht="15.75" x14ac:dyDescent="0.25">
      <c r="J34" s="52" t="s">
        <v>38</v>
      </c>
      <c r="K34" s="52"/>
      <c r="L34" s="52"/>
      <c r="X34" s="46"/>
      <c r="Y34" s="46" t="s">
        <v>57</v>
      </c>
      <c r="Z34" s="46" t="s">
        <v>25</v>
      </c>
      <c r="AA34" s="46"/>
      <c r="AB34" s="46"/>
      <c r="AC34" s="46"/>
      <c r="AD34" s="46"/>
    </row>
    <row r="35" spans="10:30" x14ac:dyDescent="0.25">
      <c r="X35" s="38" t="s">
        <v>85</v>
      </c>
      <c r="Y35" s="46" t="s">
        <v>16</v>
      </c>
      <c r="Z35" s="46">
        <f>Z11</f>
        <v>10881</v>
      </c>
      <c r="AA35" s="46">
        <f>SUM(Z35:Z37)</f>
        <v>12732</v>
      </c>
      <c r="AB35" s="46"/>
      <c r="AC35" s="46"/>
      <c r="AD35" s="46"/>
    </row>
    <row r="36" spans="10:30" x14ac:dyDescent="0.25">
      <c r="X36" s="39" t="s">
        <v>86</v>
      </c>
      <c r="Y36" s="46" t="s">
        <v>16</v>
      </c>
      <c r="Z36" s="46">
        <f>Z12</f>
        <v>1188</v>
      </c>
      <c r="AA36" s="46"/>
      <c r="AB36" s="46">
        <f>0.75*AA35</f>
        <v>9549</v>
      </c>
      <c r="AC36" s="46"/>
      <c r="AD36" s="46"/>
    </row>
    <row r="37" spans="10:30" x14ac:dyDescent="0.25">
      <c r="X37" s="39" t="s">
        <v>87</v>
      </c>
      <c r="Y37" s="46" t="s">
        <v>16</v>
      </c>
      <c r="Z37" s="46">
        <f>Z13</f>
        <v>663</v>
      </c>
      <c r="AA37" s="46"/>
      <c r="AB37" s="46">
        <f>0.2*AA35</f>
        <v>2546.4</v>
      </c>
      <c r="AC37" s="46"/>
      <c r="AD37" s="46"/>
    </row>
    <row r="38" spans="10:30" x14ac:dyDescent="0.25">
      <c r="X38" s="40" t="s">
        <v>88</v>
      </c>
      <c r="Y38" s="40" t="s">
        <v>76</v>
      </c>
      <c r="Z38" s="46">
        <f>AB36*AC33</f>
        <v>4583.5199999999995</v>
      </c>
      <c r="AA38" s="46"/>
      <c r="AB38" s="46">
        <f>0.05*AA35</f>
        <v>636.6</v>
      </c>
      <c r="AC38" s="46"/>
      <c r="AD38" s="46"/>
    </row>
    <row r="39" spans="10:30" x14ac:dyDescent="0.25">
      <c r="X39" s="46" t="s">
        <v>89</v>
      </c>
      <c r="Y39" s="40" t="s">
        <v>76</v>
      </c>
      <c r="Z39" s="46">
        <f>AB37*AC33</f>
        <v>1222.2719999999999</v>
      </c>
      <c r="AA39" s="46"/>
      <c r="AB39" s="46"/>
      <c r="AC39" s="46"/>
      <c r="AD39" s="46"/>
    </row>
    <row r="40" spans="10:30" x14ac:dyDescent="0.25">
      <c r="X40" s="46" t="s">
        <v>90</v>
      </c>
      <c r="Y40" s="40" t="s">
        <v>76</v>
      </c>
      <c r="Z40" s="46">
        <f>AB38*AC33</f>
        <v>305.56799999999998</v>
      </c>
      <c r="AA40" s="46"/>
      <c r="AB40" s="46"/>
      <c r="AC40" s="46"/>
      <c r="AD40" s="46"/>
    </row>
    <row r="41" spans="10:30" ht="30" x14ac:dyDescent="0.25">
      <c r="X41" s="41" t="s">
        <v>91</v>
      </c>
      <c r="Y41" s="46" t="s">
        <v>58</v>
      </c>
      <c r="Z41" s="46">
        <v>1</v>
      </c>
      <c r="AA41" s="46"/>
      <c r="AB41" s="46"/>
      <c r="AC41" s="46"/>
      <c r="AD41" s="46"/>
    </row>
    <row r="42" spans="10:30" x14ac:dyDescent="0.25">
      <c r="K42" t="s">
        <v>39</v>
      </c>
      <c r="L42">
        <f>((10.643*((N27/N28)^1.852))/N8)^(1/4.87)</f>
        <v>3.8688240151668329E-2</v>
      </c>
      <c r="M42" t="s">
        <v>16</v>
      </c>
      <c r="X42" s="46" t="s">
        <v>92</v>
      </c>
      <c r="Y42" s="46" t="s">
        <v>93</v>
      </c>
      <c r="Z42" s="46">
        <v>300</v>
      </c>
      <c r="AA42" s="46"/>
      <c r="AB42" s="46"/>
      <c r="AC42" s="46"/>
      <c r="AD42" s="46"/>
    </row>
    <row r="43" spans="10:30" x14ac:dyDescent="0.25">
      <c r="X43" s="46" t="s">
        <v>94</v>
      </c>
      <c r="Y43" s="46" t="s">
        <v>93</v>
      </c>
      <c r="Z43" s="46">
        <v>90</v>
      </c>
      <c r="AA43" s="46"/>
      <c r="AB43" s="46"/>
      <c r="AC43" s="46"/>
      <c r="AD43" s="46"/>
    </row>
    <row r="44" spans="10:30" x14ac:dyDescent="0.25">
      <c r="X44" s="46" t="s">
        <v>95</v>
      </c>
      <c r="Y44" s="46" t="s">
        <v>93</v>
      </c>
      <c r="Z44" s="46">
        <v>400</v>
      </c>
      <c r="AA44" s="46"/>
      <c r="AB44" s="46"/>
      <c r="AC44" s="46"/>
      <c r="AD44" s="46"/>
    </row>
    <row r="45" spans="10:30" x14ac:dyDescent="0.25">
      <c r="J45" s="56" t="s">
        <v>40</v>
      </c>
      <c r="K45" s="56"/>
      <c r="L45" s="56"/>
      <c r="M45" s="56"/>
      <c r="N45" s="56"/>
    </row>
    <row r="46" spans="10:30" x14ac:dyDescent="0.25">
      <c r="J46" s="56"/>
      <c r="K46" s="56"/>
      <c r="L46" s="56"/>
      <c r="M46" s="56"/>
      <c r="N46" s="56"/>
    </row>
    <row r="47" spans="10:30" x14ac:dyDescent="0.25">
      <c r="J47" s="56"/>
      <c r="K47" s="56"/>
      <c r="L47" s="56"/>
      <c r="M47" s="56"/>
      <c r="N47" s="56"/>
    </row>
    <row r="50" spans="10:14" x14ac:dyDescent="0.25">
      <c r="J50" s="57" t="s">
        <v>41</v>
      </c>
      <c r="K50" s="57"/>
      <c r="L50" s="57"/>
      <c r="M50" s="57"/>
      <c r="N50" s="57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8" t="s">
        <v>45</v>
      </c>
      <c r="K58" s="58"/>
      <c r="L58" s="58"/>
      <c r="M58" s="58"/>
      <c r="N58" s="58"/>
    </row>
    <row r="59" spans="10:14" x14ac:dyDescent="0.25">
      <c r="J59" s="59" t="s">
        <v>46</v>
      </c>
      <c r="K59" s="59"/>
      <c r="L59" s="59"/>
      <c r="M59" s="59"/>
      <c r="N59" s="59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3.7134635151883873E-2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5121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19050</xdr:rowOff>
              </to>
            </anchor>
          </objectPr>
        </oleObject>
      </mc:Choice>
      <mc:Fallback>
        <oleObject progId="Equation.3" shapeId="5121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Olhos D'Água</vt:lpstr>
      <vt:lpstr>Caraibas</vt:lpstr>
      <vt:lpstr>Morrinhos</vt:lpstr>
      <vt:lpstr>Capão (falta)</vt:lpstr>
      <vt:lpstr>Barra (falta)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BRUNO GUSMAO</cp:lastModifiedBy>
  <dcterms:created xsi:type="dcterms:W3CDTF">2012-09-13T22:59:49Z</dcterms:created>
  <dcterms:modified xsi:type="dcterms:W3CDTF">2012-10-29T19:53:51Z</dcterms:modified>
</cp:coreProperties>
</file>