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drawings/drawing6.xml" ContentType="application/vnd.openxmlformats-officedocument.drawing+xml"/>
  <Override PartName="/xl/drawings/drawing8.xml" ContentType="application/vnd.openxmlformats-officedocument.drawing+xml"/>
  <Override PartName="/xl/embeddings/oleObject21.bin" ContentType="application/vnd.openxmlformats-officedocument.oleObject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4.xml" ContentType="application/vnd.openxmlformats-officedocument.drawing+xml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embeddings/oleObject20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drawings/drawing7.xml" ContentType="application/vnd.openxmlformats-officedocument.drawing+xml"/>
  <Override PartName="/xl/embeddings/oleObject22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15" firstSheet="1" activeTab="7"/>
  </bookViews>
  <sheets>
    <sheet name="Laranjeiras" sheetId="2" r:id="rId1"/>
    <sheet name="Lingua D'Água" sheetId="4" r:id="rId2"/>
    <sheet name="São Sebastião" sheetId="5" r:id="rId3"/>
    <sheet name="Furradinho" sheetId="6" r:id="rId4"/>
    <sheet name="Riacho Quente" sheetId="7" r:id="rId5"/>
    <sheet name="Monte Video" sheetId="8" r:id="rId6"/>
    <sheet name="Monte Videu" sheetId="9" r:id="rId7"/>
    <sheet name="Paus Preto" sheetId="10" r:id="rId8"/>
  </sheets>
  <calcPr calcId="124519"/>
</workbook>
</file>

<file path=xl/calcChain.xml><?xml version="1.0" encoding="utf-8"?>
<calcChain xmlns="http://schemas.openxmlformats.org/spreadsheetml/2006/main">
  <c r="D12" i="10"/>
  <c r="Z39"/>
  <c r="Z38"/>
  <c r="Z37"/>
  <c r="AA37" s="1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Z37" i="9"/>
  <c r="Z36"/>
  <c r="AA35"/>
  <c r="AB38" s="1"/>
  <c r="Z40" s="1"/>
  <c r="Z35"/>
  <c r="AC33"/>
  <c r="M19"/>
  <c r="M18"/>
  <c r="M17"/>
  <c r="M16"/>
  <c r="M21" s="1"/>
  <c r="N30" s="1"/>
  <c r="D12"/>
  <c r="V8"/>
  <c r="N8"/>
  <c r="B6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B5"/>
  <c r="D12" i="8"/>
  <c r="D12" i="7"/>
  <c r="Z39"/>
  <c r="Z38"/>
  <c r="AA37"/>
  <c r="AB40" s="1"/>
  <c r="Z42" s="1"/>
  <c r="Z37"/>
  <c r="M21"/>
  <c r="N30" s="1"/>
  <c r="M19"/>
  <c r="M18"/>
  <c r="M17"/>
  <c r="M16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D12" i="6"/>
  <c r="Z39"/>
  <c r="Z38"/>
  <c r="AA37"/>
  <c r="AB40" s="1"/>
  <c r="Z42" s="1"/>
  <c r="Z37"/>
  <c r="M21"/>
  <c r="N30" s="1"/>
  <c r="M19"/>
  <c r="M18"/>
  <c r="M17"/>
  <c r="M16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D12" i="5"/>
  <c r="Z39"/>
  <c r="Z38"/>
  <c r="AA37"/>
  <c r="AB40" s="1"/>
  <c r="Z42" s="1"/>
  <c r="Z37"/>
  <c r="M21"/>
  <c r="N30" s="1"/>
  <c r="M19"/>
  <c r="M18"/>
  <c r="M17"/>
  <c r="M16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Z39" i="4"/>
  <c r="Z38"/>
  <c r="Z37"/>
  <c r="L63" i="10" l="1"/>
  <c r="L42"/>
  <c r="N31"/>
  <c r="AB40"/>
  <c r="Z42" s="1"/>
  <c r="AB39"/>
  <c r="Z41" s="1"/>
  <c r="AB38"/>
  <c r="Z40" s="1"/>
  <c r="S12"/>
  <c r="L42" i="9"/>
  <c r="N31"/>
  <c r="L63"/>
  <c r="S12"/>
  <c r="AB36"/>
  <c r="Z38" s="1"/>
  <c r="AB37"/>
  <c r="Z39" s="1"/>
  <c r="L63" i="7"/>
  <c r="L42"/>
  <c r="N31"/>
  <c r="S12"/>
  <c r="AB38"/>
  <c r="Z40" s="1"/>
  <c r="AB39"/>
  <c r="Z41" s="1"/>
  <c r="L63" i="6"/>
  <c r="L42"/>
  <c r="N31"/>
  <c r="S12"/>
  <c r="AB38"/>
  <c r="Z40" s="1"/>
  <c r="AB39"/>
  <c r="Z41" s="1"/>
  <c r="S12" i="5"/>
  <c r="L63"/>
  <c r="L42"/>
  <c r="N31"/>
  <c r="AB38"/>
  <c r="Z40" s="1"/>
  <c r="AB39"/>
  <c r="Z41" s="1"/>
  <c r="AA37" i="4"/>
  <c r="D12" l="1"/>
  <c r="D12" i="2" l="1"/>
  <c r="Z37" i="8" l="1"/>
  <c r="Z36"/>
  <c r="Z35"/>
  <c r="AC33"/>
  <c r="AB39" i="4"/>
  <c r="Z41" s="1"/>
  <c r="AA35" i="8" l="1"/>
  <c r="AB38" s="1"/>
  <c r="Z40" s="1"/>
  <c r="AB40" i="4"/>
  <c r="Z42" s="1"/>
  <c r="AB38"/>
  <c r="Z40" s="1"/>
  <c r="AB37" i="8" l="1"/>
  <c r="Z39" s="1"/>
  <c r="AB36"/>
  <c r="Z38" s="1"/>
  <c r="M19" l="1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S12" s="1"/>
  <c r="M19" i="4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Z37" i="2"/>
  <c r="Z36"/>
  <c r="Z35"/>
  <c r="AC33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S12" s="1"/>
  <c r="S12" i="4" l="1"/>
  <c r="AA35" i="2"/>
  <c r="AB38" s="1"/>
  <c r="Z40" s="1"/>
  <c r="L42" i="8"/>
  <c r="N31"/>
  <c r="L63"/>
  <c r="L42" i="4"/>
  <c r="N31"/>
  <c r="L63"/>
  <c r="AB36" i="2"/>
  <c r="Z38" s="1"/>
  <c r="L42"/>
  <c r="N31"/>
  <c r="L63"/>
  <c r="AB37" l="1"/>
  <c r="Z39" s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6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7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8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<sst xmlns="http://schemas.openxmlformats.org/spreadsheetml/2006/main" count="1042" uniqueCount="101">
  <si>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</si>
  <si>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</si>
  <si>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</si>
  <si>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</si>
  <si>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</si>
  <si>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</si>
  <si>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</si>
  <si>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</si>
  <si>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</si>
  <si>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</si>
  <si>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</si>
  <si>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</si>
  <si>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</si>
  <si>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</si>
  <si>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</si>
  <si>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</si>
  <si>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</si>
  <si>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</si>
  <si>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</si>
  <si>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</si>
  <si>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</si>
  <si>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</si>
  <si>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</si>
  <si>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</si>
  <si>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</si>
  <si>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</si>
  <si>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</si>
  <si>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</si>
  <si>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</si>
  <si>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</si>
  <si>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</si>
  <si>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</si>
  <si>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</si>
  <si>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</si>
  <si>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</si>
  <si>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</si>
  <si>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</si>
  <si>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</si>
  <si>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</si>
  <si>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</si>
  <si>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</si>
  <si>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</si>
  <si>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</si>
  <si>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</si>
  <si>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</si>
  <si>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</si>
  <si>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</si>
  <si>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</si>
  <si>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</si>
  <si>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</si>
  <si>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</si>
  <si>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</si>
  <si>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</si>
  <si>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</si>
  <si>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</si>
  <si>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</si>
  <si>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</si>
  <si>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</si>
  <si>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</si>
  <si>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</si>
  <si>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</si>
  <si>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</si>
  <si>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</si>
  <si>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</si>
  <si>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</si>
  <si>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</si>
  <si>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</si>
  <si>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</si>
  <si>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</si>
  <si>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</si>
  <si>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</si>
  <si>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</si>
  <si>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Montagem e instalação de poço tubular profundo, diâmetro da tubulação de extração de 4", profundidade de instalação da bomba entre 60 m a 120 m</t>
  </si>
  <si>
    <t>Bomba submersa</t>
  </si>
  <si>
    <t>Escavação mecânica de valas (solo seco), profundidade até 1,50 m (1x 0,8x0,6) 75%</t>
  </si>
  <si>
    <t>Escavação e carga mecânica de valas, rocha branda, à frio</t>
  </si>
  <si>
    <t>Caixa de passagem em alvenaria (0,30 X 0,30 X 0,30 m)</t>
  </si>
  <si>
    <t>Armação em barra de aço 4,2 mm</t>
  </si>
  <si>
    <t>Reservatórios: 1 Caixas d'água de ferrocimento (100 m³)</t>
  </si>
  <si>
    <t>Assentamento de tubos e conexões PVC JS DN 32 mm</t>
  </si>
  <si>
    <t>Tubo BPA 50 mm classe 12</t>
  </si>
  <si>
    <t>Reservatórios: 1 Caixas d'água de ferrocimento (50 m³)</t>
  </si>
  <si>
    <t>Adaptador PVC BSA PBA x PTA FOFO 50 mm</t>
  </si>
  <si>
    <t>CAP 50 mm</t>
  </si>
  <si>
    <t>Conexão T PBA 50 mm</t>
  </si>
  <si>
    <t>Bucha c/ redução 50 x 25 PVC</t>
  </si>
  <si>
    <t>Bucha c/ redução 32 x 25 PVC</t>
  </si>
  <si>
    <t>Tubo PVC 32 mm Classe 12</t>
  </si>
  <si>
    <t>Tubo PVC 25 mm Classe 12</t>
  </si>
  <si>
    <t>Flange 50 mm</t>
  </si>
  <si>
    <t>Curva de 45º PBA</t>
  </si>
  <si>
    <t xml:space="preserve">Curva de 90º PBA </t>
  </si>
  <si>
    <t>Laranjeiras</t>
  </si>
  <si>
    <t>Bucha c/ redução 50 x 32 PVC</t>
  </si>
  <si>
    <t>São Sebastião</t>
  </si>
  <si>
    <t>Lingua D'Água</t>
  </si>
  <si>
    <t>Furradinho</t>
  </si>
  <si>
    <t>Riacho Quente</t>
  </si>
  <si>
    <t>Monte Video</t>
  </si>
  <si>
    <t>Monte Videu</t>
  </si>
  <si>
    <t>Paus Preto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</si>
</sst>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75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5" xfId="0" applyNumberFormat="1" applyBorder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6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155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917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24650"/>
          <a:ext cx="1657350" cy="914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441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203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82475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2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2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2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2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3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3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00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770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8964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727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00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770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8964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727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00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770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8964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727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00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770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8964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2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727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2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00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770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8964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3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727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3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oleObject" Target="../embeddings/oleObject4.bin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omments" Target="../comments3.xml"/><Relationship Id="rId5" Type="http://schemas.openxmlformats.org/officeDocument/2006/relationships/oleObject" Target="../embeddings/oleObject7.bin"/><Relationship Id="rId4" Type="http://schemas.openxmlformats.org/officeDocument/2006/relationships/oleObject" Target="../embeddings/oleObject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8.bin"/><Relationship Id="rId7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oleObject" Target="../embeddings/oleObject11.bin"/><Relationship Id="rId5" Type="http://schemas.openxmlformats.org/officeDocument/2006/relationships/oleObject" Target="../embeddings/oleObject10.bin"/><Relationship Id="rId4" Type="http://schemas.openxmlformats.org/officeDocument/2006/relationships/oleObject" Target="../embeddings/oleObject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oleObject" Target="../embeddings/oleObject12.bin"/><Relationship Id="rId7" Type="http://schemas.openxmlformats.org/officeDocument/2006/relationships/oleObject" Target="../embeddings/oleObject16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oleObject" Target="../embeddings/oleObject15.bin"/><Relationship Id="rId5" Type="http://schemas.openxmlformats.org/officeDocument/2006/relationships/oleObject" Target="../embeddings/oleObject14.bin"/><Relationship Id="rId4" Type="http://schemas.openxmlformats.org/officeDocument/2006/relationships/oleObject" Target="../embeddings/oleObject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7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8.bin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oleObject" Target="../embeddings/oleObject19.bin"/><Relationship Id="rId7" Type="http://schemas.openxmlformats.org/officeDocument/2006/relationships/oleObject" Target="../embeddings/oleObject23.bin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oleObject" Target="../embeddings/oleObject22.bin"/><Relationship Id="rId5" Type="http://schemas.openxmlformats.org/officeDocument/2006/relationships/oleObject" Target="../embeddings/oleObject21.bin"/><Relationship Id="rId4" Type="http://schemas.openxmlformats.org/officeDocument/2006/relationships/oleObject" Target="../embeddings/oleObject2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3"/>
  <sheetViews>
    <sheetView topLeftCell="Q19" workbookViewId="0">
      <selection activeCell="AA33" sqref="AA33:AC38"/>
    </sheetView>
  </sheetViews>
  <sheetFormatPr defaultRowHeight="1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8" width="8.7109375" style="30" customWidth="1"/>
    <col min="29" max="29" width="9" style="30" customWidth="1"/>
    <col min="30" max="16384" width="9.140625" style="30"/>
  </cols>
  <sheetData>
    <row r="1" spans="1:26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32" t="s">
        <v>61</v>
      </c>
      <c r="Y1" s="32"/>
      <c r="Z1" s="32"/>
    </row>
    <row r="2" spans="1:26" ht="15" customHeight="1">
      <c r="A2" s="73" t="s">
        <v>92</v>
      </c>
      <c r="B2" s="74"/>
    </row>
    <row r="3" spans="1:26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33" t="s">
        <v>62</v>
      </c>
    </row>
    <row r="4" spans="1:26" ht="15" customHeight="1">
      <c r="A4" s="1">
        <v>0</v>
      </c>
      <c r="B4" s="41">
        <v>90</v>
      </c>
    </row>
    <row r="5" spans="1:26" ht="15" customHeight="1">
      <c r="A5" s="1">
        <v>1</v>
      </c>
      <c r="B5" s="3">
        <f>B4*1.05</f>
        <v>94.5</v>
      </c>
      <c r="X5" s="30" t="s">
        <v>49</v>
      </c>
      <c r="Y5" s="30" t="s">
        <v>55</v>
      </c>
      <c r="Z5" s="30" t="s">
        <v>17</v>
      </c>
    </row>
    <row r="6" spans="1:26" ht="15" customHeight="1">
      <c r="A6" s="1">
        <v>2</v>
      </c>
      <c r="B6" s="3">
        <f t="shared" ref="B6:B24" si="0">B5*1.05</f>
        <v>99.225000000000009</v>
      </c>
      <c r="E6" s="30" t="s">
        <v>4</v>
      </c>
      <c r="F6" s="30" t="s">
        <v>5</v>
      </c>
      <c r="G6" s="30" t="s">
        <v>6</v>
      </c>
      <c r="H6" s="30" t="s">
        <v>7</v>
      </c>
    </row>
    <row r="7" spans="1:26">
      <c r="A7" s="1">
        <v>3</v>
      </c>
      <c r="B7" s="3">
        <f t="shared" si="0"/>
        <v>104.18625000000002</v>
      </c>
      <c r="E7" s="30">
        <v>1.2</v>
      </c>
      <c r="F7" s="30">
        <v>200</v>
      </c>
      <c r="G7" s="23">
        <f>B24</f>
        <v>238.79679346299804</v>
      </c>
      <c r="H7" s="22">
        <f>(E7*F7*G7)/86400</f>
        <v>0.66332442628610566</v>
      </c>
      <c r="R7" s="68" t="s">
        <v>42</v>
      </c>
      <c r="S7" s="68"/>
      <c r="T7" s="68"/>
      <c r="X7" s="30" t="s">
        <v>20</v>
      </c>
      <c r="Y7" s="30" t="s">
        <v>56</v>
      </c>
      <c r="Z7" s="30">
        <v>3</v>
      </c>
    </row>
    <row r="8" spans="1:26">
      <c r="A8" s="1">
        <v>4</v>
      </c>
      <c r="B8" s="3">
        <f t="shared" si="0"/>
        <v>109.39556250000003</v>
      </c>
      <c r="H8" s="30">
        <f>H7*1.75</f>
        <v>1.160817746000685</v>
      </c>
      <c r="J8" s="68" t="s">
        <v>10</v>
      </c>
      <c r="K8" s="68"/>
      <c r="L8" s="68"/>
      <c r="N8" s="6">
        <f>N9/N10</f>
        <v>4.3859649122807015E-2</v>
      </c>
      <c r="O8" s="30" t="s">
        <v>13</v>
      </c>
      <c r="R8" s="68" t="s">
        <v>43</v>
      </c>
      <c r="S8" s="68"/>
      <c r="T8" s="68"/>
      <c r="U8" s="68"/>
      <c r="V8" s="30">
        <f xml:space="preserve"> 1000</f>
        <v>1000</v>
      </c>
      <c r="X8" s="30" t="s">
        <v>21</v>
      </c>
      <c r="Y8" s="30" t="s">
        <v>56</v>
      </c>
      <c r="Z8" s="30">
        <v>1</v>
      </c>
    </row>
    <row r="9" spans="1:26">
      <c r="A9" s="1">
        <v>5</v>
      </c>
      <c r="B9" s="3">
        <f t="shared" si="0"/>
        <v>114.86534062500003</v>
      </c>
      <c r="J9" s="68" t="s">
        <v>11</v>
      </c>
      <c r="K9" s="68"/>
      <c r="L9" s="68"/>
      <c r="M9" s="68"/>
      <c r="N9" s="21">
        <v>10</v>
      </c>
      <c r="O9" s="30" t="s">
        <v>14</v>
      </c>
      <c r="R9" s="68" t="s">
        <v>44</v>
      </c>
      <c r="S9" s="68"/>
      <c r="X9" s="42" t="s">
        <v>91</v>
      </c>
      <c r="Y9" s="30" t="s">
        <v>56</v>
      </c>
      <c r="Z9" s="30">
        <v>5</v>
      </c>
    </row>
    <row r="10" spans="1:26">
      <c r="A10" s="1">
        <v>6</v>
      </c>
      <c r="B10" s="3">
        <f t="shared" si="0"/>
        <v>120.60860765625004</v>
      </c>
      <c r="J10" s="68" t="s">
        <v>12</v>
      </c>
      <c r="K10" s="68"/>
      <c r="L10" s="68"/>
      <c r="N10" s="21">
        <v>228</v>
      </c>
      <c r="O10" s="30" t="s">
        <v>14</v>
      </c>
      <c r="R10" s="68" t="s">
        <v>45</v>
      </c>
      <c r="S10" s="68"/>
      <c r="T10" s="68"/>
      <c r="X10" s="42" t="s">
        <v>90</v>
      </c>
      <c r="Y10" s="30" t="s">
        <v>56</v>
      </c>
      <c r="Z10" s="30">
        <v>10</v>
      </c>
    </row>
    <row r="11" spans="1:26">
      <c r="A11" s="1">
        <v>7</v>
      </c>
      <c r="B11" s="3">
        <f t="shared" si="0"/>
        <v>126.63903803906256</v>
      </c>
      <c r="R11" s="65" t="s">
        <v>48</v>
      </c>
      <c r="S11" s="65"/>
      <c r="T11" s="65"/>
      <c r="V11" s="16">
        <v>0.7</v>
      </c>
      <c r="X11" s="42" t="s">
        <v>80</v>
      </c>
      <c r="Y11" s="30" t="s">
        <v>14</v>
      </c>
      <c r="Z11" s="30">
        <v>3245</v>
      </c>
    </row>
    <row r="12" spans="1:26">
      <c r="A12" s="1">
        <v>8</v>
      </c>
      <c r="B12" s="3">
        <f t="shared" si="0"/>
        <v>132.97098994101569</v>
      </c>
      <c r="D12" s="30">
        <f>18*5</f>
        <v>90</v>
      </c>
      <c r="R12" s="30" t="s">
        <v>46</v>
      </c>
      <c r="S12" s="30">
        <f>V8*N27*(N9+M21)/(75*0.7)</f>
        <v>0.51297088966125515</v>
      </c>
      <c r="T12" s="30" t="s">
        <v>47</v>
      </c>
      <c r="X12" s="24" t="s">
        <v>87</v>
      </c>
      <c r="Y12" s="30" t="s">
        <v>14</v>
      </c>
      <c r="Z12" s="30">
        <v>366</v>
      </c>
    </row>
    <row r="13" spans="1:26" ht="15.75">
      <c r="A13" s="1">
        <v>9</v>
      </c>
      <c r="B13" s="3">
        <f t="shared" si="0"/>
        <v>139.61953943806648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30" t="s">
        <v>14</v>
      </c>
      <c r="Z13" s="30">
        <v>512</v>
      </c>
    </row>
    <row r="14" spans="1:26">
      <c r="A14" s="1">
        <v>10</v>
      </c>
      <c r="B14" s="3">
        <f t="shared" si="0"/>
        <v>146.6005164099698</v>
      </c>
      <c r="X14" s="25" t="s">
        <v>89</v>
      </c>
      <c r="Y14" s="30" t="s">
        <v>56</v>
      </c>
      <c r="Z14" s="27">
        <v>1</v>
      </c>
    </row>
    <row r="15" spans="1:26" ht="15" customHeight="1">
      <c r="A15" s="1">
        <v>11</v>
      </c>
      <c r="B15" s="3">
        <f t="shared" si="0"/>
        <v>153.93054223046829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30" t="s">
        <v>56</v>
      </c>
      <c r="Z15" s="27">
        <v>19</v>
      </c>
    </row>
    <row r="16" spans="1:26" ht="15" customHeight="1">
      <c r="A16" s="1">
        <v>12</v>
      </c>
      <c r="B16" s="3">
        <f t="shared" si="0"/>
        <v>161.6270693419917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30" t="s">
        <v>56</v>
      </c>
      <c r="Z16" s="30">
        <v>18</v>
      </c>
    </row>
    <row r="17" spans="1:26">
      <c r="A17" s="1">
        <v>13</v>
      </c>
      <c r="B17" s="3">
        <f t="shared" si="0"/>
        <v>169.7084228090913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30" t="s">
        <v>56</v>
      </c>
      <c r="Z17" s="27">
        <v>15</v>
      </c>
    </row>
    <row r="18" spans="1:26">
      <c r="A18" s="1">
        <v>14</v>
      </c>
      <c r="B18" s="3">
        <f t="shared" si="0"/>
        <v>178.19384394954588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45" t="s">
        <v>56</v>
      </c>
      <c r="Z18" s="27">
        <v>3</v>
      </c>
    </row>
    <row r="19" spans="1:26">
      <c r="A19" s="1">
        <v>15</v>
      </c>
      <c r="B19" s="3">
        <f t="shared" si="0"/>
        <v>187.10353614702319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30" t="s">
        <v>56</v>
      </c>
      <c r="Z19" s="27">
        <v>3</v>
      </c>
    </row>
    <row r="20" spans="1:26">
      <c r="A20" s="1">
        <v>16</v>
      </c>
      <c r="B20" s="3">
        <f t="shared" si="0"/>
        <v>196.45871295437436</v>
      </c>
      <c r="J20" s="18"/>
      <c r="K20" s="20"/>
      <c r="L20" s="19"/>
      <c r="M20" s="19"/>
      <c r="X20" s="28" t="s">
        <v>73</v>
      </c>
      <c r="Y20" s="30" t="s">
        <v>56</v>
      </c>
      <c r="Z20" s="29">
        <v>1</v>
      </c>
    </row>
    <row r="21" spans="1:26">
      <c r="A21" s="1">
        <v>17</v>
      </c>
      <c r="B21" s="3">
        <f t="shared" si="0"/>
        <v>206.2816486020931</v>
      </c>
      <c r="L21" s="9" t="s">
        <v>24</v>
      </c>
      <c r="M21" s="30">
        <f>SUM(M16:M20)</f>
        <v>13.200000000000001</v>
      </c>
      <c r="X21" s="42" t="s">
        <v>76</v>
      </c>
      <c r="Y21" s="30" t="s">
        <v>56</v>
      </c>
      <c r="Z21" s="29">
        <v>2</v>
      </c>
    </row>
    <row r="22" spans="1:26">
      <c r="A22" s="1">
        <v>18</v>
      </c>
      <c r="B22" s="3">
        <f t="shared" si="0"/>
        <v>216.59573103219776</v>
      </c>
      <c r="X22" s="42" t="s">
        <v>83</v>
      </c>
      <c r="Y22" s="42" t="s">
        <v>56</v>
      </c>
      <c r="Z22" s="29">
        <v>2</v>
      </c>
    </row>
    <row r="23" spans="1:26" ht="15.75">
      <c r="A23" s="1">
        <v>19</v>
      </c>
      <c r="B23" s="3">
        <f t="shared" si="0"/>
        <v>227.42551758380765</v>
      </c>
      <c r="X23" s="46" t="s">
        <v>81</v>
      </c>
      <c r="Y23" s="46"/>
      <c r="Z23" s="46"/>
    </row>
    <row r="24" spans="1:26">
      <c r="A24" s="4">
        <v>20</v>
      </c>
      <c r="B24" s="17">
        <f t="shared" si="0"/>
        <v>238.79679346299804</v>
      </c>
      <c r="X24" s="45" t="s">
        <v>49</v>
      </c>
      <c r="Y24" s="45" t="s">
        <v>55</v>
      </c>
      <c r="Z24" s="45" t="s">
        <v>17</v>
      </c>
    </row>
    <row r="25" spans="1:26">
      <c r="X25" s="45"/>
      <c r="Y25" s="45"/>
      <c r="Z25" s="45"/>
    </row>
    <row r="26" spans="1:26">
      <c r="X26" s="45" t="s">
        <v>50</v>
      </c>
      <c r="Y26" s="45" t="s">
        <v>57</v>
      </c>
      <c r="Z26" s="45">
        <v>45</v>
      </c>
    </row>
    <row r="27" spans="1:26">
      <c r="J27" s="30" t="s">
        <v>27</v>
      </c>
      <c r="N27" s="22">
        <f>H8/1000</f>
        <v>1.160817746000685E-3</v>
      </c>
      <c r="X27" s="45" t="s">
        <v>51</v>
      </c>
      <c r="Y27" s="45" t="s">
        <v>58</v>
      </c>
      <c r="Z27" s="45">
        <v>4</v>
      </c>
    </row>
    <row r="28" spans="1:26">
      <c r="J28" s="67" t="s">
        <v>25</v>
      </c>
      <c r="K28" s="67"/>
      <c r="L28" s="67"/>
      <c r="N28" s="22">
        <v>140</v>
      </c>
      <c r="X28" s="45" t="s">
        <v>71</v>
      </c>
      <c r="Y28" s="45" t="s">
        <v>59</v>
      </c>
      <c r="Z28" s="45">
        <v>200</v>
      </c>
    </row>
    <row r="29" spans="1:26">
      <c r="J29" s="30" t="s">
        <v>26</v>
      </c>
      <c r="N29" s="30">
        <v>0.05</v>
      </c>
      <c r="X29" s="45" t="s">
        <v>52</v>
      </c>
      <c r="Y29" s="45" t="s">
        <v>60</v>
      </c>
      <c r="Z29" s="45">
        <v>250</v>
      </c>
    </row>
    <row r="30" spans="1:26">
      <c r="J30" s="68" t="s">
        <v>28</v>
      </c>
      <c r="K30" s="68"/>
      <c r="N30" s="30">
        <f>M21</f>
        <v>13.200000000000001</v>
      </c>
      <c r="X30" s="45" t="s">
        <v>53</v>
      </c>
      <c r="Y30" s="45" t="s">
        <v>59</v>
      </c>
      <c r="Z30" s="45">
        <v>10</v>
      </c>
    </row>
    <row r="31" spans="1:26">
      <c r="J31" s="68" t="s">
        <v>29</v>
      </c>
      <c r="K31" s="68"/>
      <c r="N31" s="30">
        <f>10.643*((N27/N28)^1.852)*(N30/(N29^4.87))</f>
        <v>0.11829542528641152</v>
      </c>
      <c r="X31" s="45" t="s">
        <v>54</v>
      </c>
      <c r="Y31" s="45" t="s">
        <v>58</v>
      </c>
      <c r="Z31" s="45">
        <v>65</v>
      </c>
    </row>
    <row r="33" spans="10:29" ht="16.5" customHeight="1">
      <c r="X33" s="32" t="s">
        <v>63</v>
      </c>
      <c r="Y33" s="37"/>
      <c r="Z33" s="37"/>
      <c r="AC33" s="30">
        <f>0.8*0.6</f>
        <v>0.48</v>
      </c>
    </row>
    <row r="34" spans="10:29" ht="15.75">
      <c r="J34" s="66" t="s">
        <v>30</v>
      </c>
      <c r="K34" s="66"/>
      <c r="L34" s="66"/>
      <c r="Y34" s="30" t="s">
        <v>55</v>
      </c>
      <c r="Z34" s="30" t="s">
        <v>17</v>
      </c>
    </row>
    <row r="35" spans="10:29" ht="15" customHeight="1">
      <c r="X35" s="34" t="s">
        <v>64</v>
      </c>
      <c r="Y35" s="30" t="s">
        <v>14</v>
      </c>
      <c r="Z35" s="30">
        <f>Z11</f>
        <v>3245</v>
      </c>
      <c r="AA35" s="30">
        <f>SUM(Z35:Z37)</f>
        <v>4123</v>
      </c>
    </row>
    <row r="36" spans="10:29">
      <c r="X36" s="35" t="s">
        <v>79</v>
      </c>
      <c r="Y36" s="30" t="s">
        <v>14</v>
      </c>
      <c r="Z36" s="30">
        <f>Z12</f>
        <v>366</v>
      </c>
      <c r="AB36" s="30">
        <f>0.75*AA35</f>
        <v>3092.25</v>
      </c>
    </row>
    <row r="37" spans="10:29">
      <c r="X37" s="35" t="s">
        <v>65</v>
      </c>
      <c r="Y37" s="30" t="s">
        <v>14</v>
      </c>
      <c r="Z37" s="30">
        <f>Z13</f>
        <v>512</v>
      </c>
      <c r="AB37" s="30">
        <f>0.2*AA35</f>
        <v>824.6</v>
      </c>
    </row>
    <row r="38" spans="10:29">
      <c r="X38" s="36" t="s">
        <v>74</v>
      </c>
      <c r="Y38" s="36" t="s">
        <v>58</v>
      </c>
      <c r="Z38" s="30">
        <f>AB36*AC33</f>
        <v>1484.28</v>
      </c>
      <c r="AB38" s="30">
        <f>0.05*AA35</f>
        <v>206.15</v>
      </c>
    </row>
    <row r="39" spans="10:29">
      <c r="X39" s="30" t="s">
        <v>70</v>
      </c>
      <c r="Y39" s="36" t="s">
        <v>58</v>
      </c>
      <c r="Z39" s="30">
        <f>AB37*AC33</f>
        <v>395.80799999999999</v>
      </c>
    </row>
    <row r="40" spans="10:29">
      <c r="X40" s="30" t="s">
        <v>75</v>
      </c>
      <c r="Y40" s="36" t="s">
        <v>58</v>
      </c>
      <c r="Z40" s="30">
        <f>AB38*AC33</f>
        <v>98.951999999999998</v>
      </c>
    </row>
    <row r="41" spans="10:29" ht="30">
      <c r="X41" s="31" t="s">
        <v>72</v>
      </c>
      <c r="Y41" s="30" t="s">
        <v>56</v>
      </c>
      <c r="Z41" s="30">
        <v>1</v>
      </c>
    </row>
    <row r="42" spans="10:29">
      <c r="K42" s="30" t="s">
        <v>31</v>
      </c>
      <c r="L42" s="30">
        <f>((10.643*((N27/N28)^1.852))/N8)^(1/4.87)</f>
        <v>3.6087247236598376E-2</v>
      </c>
      <c r="M42" s="30" t="s">
        <v>14</v>
      </c>
      <c r="X42" s="45" t="s">
        <v>66</v>
      </c>
      <c r="Y42" s="45" t="s">
        <v>69</v>
      </c>
      <c r="Z42" s="45">
        <v>250</v>
      </c>
    </row>
    <row r="43" spans="10:29">
      <c r="X43" s="45" t="s">
        <v>67</v>
      </c>
      <c r="Y43" s="45" t="s">
        <v>69</v>
      </c>
      <c r="Z43" s="45">
        <v>80</v>
      </c>
    </row>
    <row r="44" spans="10:29">
      <c r="X44" s="45" t="s">
        <v>68</v>
      </c>
      <c r="Y44" s="45" t="s">
        <v>69</v>
      </c>
      <c r="Z44" s="45">
        <v>350</v>
      </c>
    </row>
    <row r="45" spans="10:29" ht="15" customHeight="1">
      <c r="J45" s="61" t="s">
        <v>32</v>
      </c>
      <c r="K45" s="61"/>
      <c r="L45" s="61"/>
      <c r="M45" s="61"/>
      <c r="N45" s="61"/>
    </row>
    <row r="46" spans="10:29" ht="15" customHeight="1">
      <c r="J46" s="61"/>
      <c r="K46" s="61"/>
      <c r="L46" s="61"/>
      <c r="M46" s="61"/>
      <c r="N46" s="61"/>
    </row>
    <row r="47" spans="10:29" ht="15" customHeight="1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63" t="s">
        <v>37</v>
      </c>
      <c r="K58" s="63"/>
      <c r="L58" s="63"/>
      <c r="M58" s="63"/>
      <c r="N58" s="63"/>
    </row>
    <row r="59" spans="10:14" ht="15" customHeight="1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0" t="s">
        <v>40</v>
      </c>
      <c r="L62" s="30">
        <v>1.2</v>
      </c>
    </row>
    <row r="63" spans="10:14">
      <c r="K63" s="30" t="s">
        <v>31</v>
      </c>
      <c r="L63" s="30">
        <f>L61^(1/4)*L62*(N27^0.5)</f>
        <v>3.4379991621334427E-2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oleObject progId="Equation.3" shapeId="2049" r:id="rId4"/>
    <oleObject progId="Equation.3" shapeId="2054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D63"/>
  <sheetViews>
    <sheetView workbookViewId="0">
      <selection activeCell="A2" sqref="A2:B2"/>
    </sheetView>
  </sheetViews>
  <sheetFormatPr defaultRowHeight="1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8" width="9" style="30" customWidth="1"/>
    <col min="29" max="29" width="9.140625" style="30" customWidth="1"/>
    <col min="30" max="16384" width="9.140625" style="30"/>
  </cols>
  <sheetData>
    <row r="1" spans="1:30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66" t="s">
        <v>61</v>
      </c>
      <c r="Y1" s="66"/>
      <c r="Z1" s="66"/>
      <c r="AA1" s="38"/>
      <c r="AB1" s="38"/>
      <c r="AC1" s="38"/>
      <c r="AD1" s="38"/>
    </row>
    <row r="2" spans="1:30">
      <c r="A2" s="73" t="s">
        <v>95</v>
      </c>
      <c r="B2" s="74"/>
      <c r="X2" s="38"/>
      <c r="Y2" s="38"/>
      <c r="Z2" s="38"/>
      <c r="AA2" s="38"/>
      <c r="AB2" s="38"/>
      <c r="AC2" s="38"/>
      <c r="AD2" s="38"/>
    </row>
    <row r="3" spans="1:30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40" t="s">
        <v>62</v>
      </c>
      <c r="Y3" s="38"/>
      <c r="Z3" s="38"/>
      <c r="AA3" s="38"/>
      <c r="AB3" s="38"/>
      <c r="AC3" s="38"/>
      <c r="AD3" s="38"/>
    </row>
    <row r="4" spans="1:30">
      <c r="A4" s="1">
        <v>0</v>
      </c>
      <c r="B4" s="41">
        <v>120</v>
      </c>
      <c r="X4" s="38"/>
      <c r="Y4" s="38"/>
      <c r="Z4" s="38"/>
      <c r="AA4" s="38"/>
      <c r="AB4" s="38"/>
      <c r="AC4" s="38"/>
      <c r="AD4" s="38"/>
    </row>
    <row r="5" spans="1:30">
      <c r="A5" s="1">
        <v>1</v>
      </c>
      <c r="B5" s="3">
        <f>B4*1.05</f>
        <v>126</v>
      </c>
      <c r="X5" s="38" t="s">
        <v>49</v>
      </c>
      <c r="Y5" s="38" t="s">
        <v>55</v>
      </c>
      <c r="Z5" s="38" t="s">
        <v>17</v>
      </c>
      <c r="AA5" s="38"/>
      <c r="AB5" s="38"/>
      <c r="AC5" s="38"/>
      <c r="AD5" s="38"/>
    </row>
    <row r="6" spans="1:30">
      <c r="A6" s="1">
        <v>2</v>
      </c>
      <c r="B6" s="3">
        <f t="shared" ref="B6:B24" si="0">B5*1.05</f>
        <v>132.30000000000001</v>
      </c>
      <c r="E6" s="30" t="s">
        <v>4</v>
      </c>
      <c r="F6" s="30" t="s">
        <v>5</v>
      </c>
      <c r="G6" s="30" t="s">
        <v>6</v>
      </c>
      <c r="H6" s="30" t="s">
        <v>7</v>
      </c>
      <c r="X6" s="38"/>
      <c r="Y6" s="38"/>
      <c r="Z6" s="38"/>
      <c r="AA6" s="38"/>
      <c r="AB6" s="38"/>
      <c r="AC6" s="38"/>
      <c r="AD6" s="38"/>
    </row>
    <row r="7" spans="1:30">
      <c r="A7" s="1">
        <v>3</v>
      </c>
      <c r="B7" s="3">
        <f t="shared" si="0"/>
        <v>138.91500000000002</v>
      </c>
      <c r="E7" s="30">
        <v>1.2</v>
      </c>
      <c r="F7" s="30">
        <v>200</v>
      </c>
      <c r="G7" s="23">
        <f>B24</f>
        <v>318.39572461733064</v>
      </c>
      <c r="H7" s="22">
        <f>(E7*F7*G7)/86400</f>
        <v>0.8844325683814741</v>
      </c>
      <c r="R7" s="68" t="s">
        <v>42</v>
      </c>
      <c r="S7" s="68"/>
      <c r="T7" s="68"/>
      <c r="X7" s="45" t="s">
        <v>20</v>
      </c>
      <c r="Y7" s="38" t="s">
        <v>56</v>
      </c>
      <c r="Z7" s="38">
        <v>3</v>
      </c>
      <c r="AA7" s="38"/>
      <c r="AB7" s="38"/>
      <c r="AC7" s="38"/>
      <c r="AD7" s="38"/>
    </row>
    <row r="8" spans="1:30">
      <c r="A8" s="1">
        <v>4</v>
      </c>
      <c r="B8" s="3">
        <f t="shared" si="0"/>
        <v>145.86075000000002</v>
      </c>
      <c r="H8" s="30">
        <f>H7*1.75</f>
        <v>1.5477569946675798</v>
      </c>
      <c r="J8" s="68" t="s">
        <v>10</v>
      </c>
      <c r="K8" s="68"/>
      <c r="L8" s="68"/>
      <c r="N8" s="6">
        <f>N9/N10</f>
        <v>3.937007874015748E-2</v>
      </c>
      <c r="O8" s="30" t="s">
        <v>13</v>
      </c>
      <c r="R8" s="68" t="s">
        <v>43</v>
      </c>
      <c r="S8" s="68"/>
      <c r="T8" s="68"/>
      <c r="U8" s="68"/>
      <c r="V8" s="30">
        <f xml:space="preserve"> 1000</f>
        <v>1000</v>
      </c>
      <c r="X8" s="45" t="s">
        <v>21</v>
      </c>
      <c r="Y8" s="38" t="s">
        <v>56</v>
      </c>
      <c r="Z8" s="38">
        <v>1</v>
      </c>
      <c r="AA8" s="38"/>
      <c r="AB8" s="38"/>
      <c r="AC8" s="38"/>
      <c r="AD8" s="38"/>
    </row>
    <row r="9" spans="1:30">
      <c r="A9" s="1">
        <v>5</v>
      </c>
      <c r="B9" s="3">
        <f t="shared" si="0"/>
        <v>153.15378750000002</v>
      </c>
      <c r="J9" s="68" t="s">
        <v>11</v>
      </c>
      <c r="K9" s="68"/>
      <c r="L9" s="68"/>
      <c r="M9" s="68"/>
      <c r="N9" s="21">
        <v>15</v>
      </c>
      <c r="O9" s="30" t="s">
        <v>14</v>
      </c>
      <c r="R9" s="68" t="s">
        <v>44</v>
      </c>
      <c r="S9" s="68"/>
      <c r="X9" s="45" t="s">
        <v>91</v>
      </c>
      <c r="Y9" s="38" t="s">
        <v>56</v>
      </c>
      <c r="Z9" s="38">
        <v>4</v>
      </c>
      <c r="AA9" s="38"/>
      <c r="AB9" s="38"/>
      <c r="AC9" s="38"/>
      <c r="AD9" s="38"/>
    </row>
    <row r="10" spans="1:30">
      <c r="A10" s="1">
        <v>6</v>
      </c>
      <c r="B10" s="3">
        <f t="shared" si="0"/>
        <v>160.81147687500004</v>
      </c>
      <c r="J10" s="68" t="s">
        <v>12</v>
      </c>
      <c r="K10" s="68"/>
      <c r="L10" s="68"/>
      <c r="N10" s="21">
        <v>381</v>
      </c>
      <c r="O10" s="30" t="s">
        <v>14</v>
      </c>
      <c r="R10" s="68" t="s">
        <v>45</v>
      </c>
      <c r="S10" s="68"/>
      <c r="T10" s="68"/>
      <c r="X10" s="45" t="s">
        <v>90</v>
      </c>
      <c r="Y10" s="38" t="s">
        <v>56</v>
      </c>
      <c r="Z10" s="38">
        <v>5</v>
      </c>
      <c r="AA10" s="38"/>
      <c r="AB10" s="38"/>
      <c r="AC10" s="38"/>
      <c r="AD10" s="38"/>
    </row>
    <row r="11" spans="1:30">
      <c r="A11" s="1">
        <v>7</v>
      </c>
      <c r="B11" s="3">
        <f t="shared" si="0"/>
        <v>168.85205071875004</v>
      </c>
      <c r="R11" s="65" t="s">
        <v>48</v>
      </c>
      <c r="S11" s="65"/>
      <c r="T11" s="65"/>
      <c r="V11" s="16">
        <v>0.7</v>
      </c>
      <c r="X11" s="45" t="s">
        <v>80</v>
      </c>
      <c r="Y11" s="38" t="s">
        <v>14</v>
      </c>
      <c r="Z11" s="38">
        <v>2751</v>
      </c>
      <c r="AA11" s="38"/>
      <c r="AB11" s="38"/>
      <c r="AC11" s="38"/>
      <c r="AD11" s="38"/>
    </row>
    <row r="12" spans="1:30">
      <c r="A12" s="1">
        <v>8</v>
      </c>
      <c r="B12" s="3">
        <f t="shared" si="0"/>
        <v>177.29465325468755</v>
      </c>
      <c r="D12" s="30">
        <f>24*5</f>
        <v>120</v>
      </c>
      <c r="R12" s="30" t="s">
        <v>46</v>
      </c>
      <c r="S12" s="30">
        <f>V8*N27*(N9+M21)/(75*0.7)</f>
        <v>0.83136661427858582</v>
      </c>
      <c r="T12" s="30" t="s">
        <v>47</v>
      </c>
      <c r="X12" s="24" t="s">
        <v>87</v>
      </c>
      <c r="Y12" s="38" t="s">
        <v>14</v>
      </c>
      <c r="Z12" s="38">
        <v>1096</v>
      </c>
      <c r="AA12" s="38"/>
      <c r="AB12" s="38"/>
      <c r="AC12" s="38"/>
      <c r="AD12" s="38"/>
    </row>
    <row r="13" spans="1:30" ht="15.75">
      <c r="A13" s="1">
        <v>9</v>
      </c>
      <c r="B13" s="3">
        <f t="shared" si="0"/>
        <v>186.15938591742193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45" t="s">
        <v>14</v>
      </c>
      <c r="Z13" s="27">
        <v>811</v>
      </c>
      <c r="AA13" s="38"/>
      <c r="AB13" s="38"/>
      <c r="AC13" s="38"/>
      <c r="AD13" s="38"/>
    </row>
    <row r="14" spans="1:30">
      <c r="A14" s="1">
        <v>10</v>
      </c>
      <c r="B14" s="3">
        <f t="shared" si="0"/>
        <v>195.46735521329305</v>
      </c>
      <c r="X14" s="25" t="s">
        <v>89</v>
      </c>
      <c r="Y14" s="38" t="s">
        <v>56</v>
      </c>
      <c r="Z14" s="27">
        <v>1</v>
      </c>
      <c r="AA14" s="38"/>
      <c r="AB14" s="38"/>
      <c r="AC14" s="38"/>
      <c r="AD14" s="38"/>
    </row>
    <row r="15" spans="1:30" ht="16.5" customHeight="1">
      <c r="A15" s="1">
        <v>11</v>
      </c>
      <c r="B15" s="3">
        <f t="shared" si="0"/>
        <v>205.2407229739577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38" t="s">
        <v>56</v>
      </c>
      <c r="Z15" s="27">
        <v>27</v>
      </c>
      <c r="AA15" s="38"/>
      <c r="AB15" s="38"/>
      <c r="AC15" s="38"/>
      <c r="AD15" s="38"/>
    </row>
    <row r="16" spans="1:30">
      <c r="A16" s="1">
        <v>12</v>
      </c>
      <c r="B16" s="3">
        <f t="shared" si="0"/>
        <v>215.50275912265559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38" t="s">
        <v>56</v>
      </c>
      <c r="Z16" s="27">
        <v>24</v>
      </c>
      <c r="AA16" s="38"/>
      <c r="AB16" s="38"/>
      <c r="AC16" s="38"/>
      <c r="AD16" s="38"/>
    </row>
    <row r="17" spans="1:30">
      <c r="A17" s="1">
        <v>13</v>
      </c>
      <c r="B17" s="3">
        <f t="shared" si="0"/>
        <v>226.27789707878838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38" t="s">
        <v>56</v>
      </c>
      <c r="Z17" s="27">
        <v>14</v>
      </c>
      <c r="AA17" s="38"/>
      <c r="AB17" s="38"/>
      <c r="AC17" s="38"/>
      <c r="AD17" s="38"/>
    </row>
    <row r="18" spans="1:30">
      <c r="A18" s="1">
        <v>14</v>
      </c>
      <c r="B18" s="3">
        <f t="shared" si="0"/>
        <v>237.5917919327278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42" t="s">
        <v>56</v>
      </c>
      <c r="Z18" s="27">
        <v>10</v>
      </c>
      <c r="AA18" s="38"/>
      <c r="AB18" s="38"/>
      <c r="AC18" s="38"/>
      <c r="AD18" s="38"/>
    </row>
    <row r="19" spans="1:30">
      <c r="A19" s="1">
        <v>15</v>
      </c>
      <c r="B19" s="3">
        <f t="shared" si="0"/>
        <v>249.47138152936421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42" t="s">
        <v>56</v>
      </c>
      <c r="Z19" s="27">
        <v>10</v>
      </c>
      <c r="AD19" s="38"/>
    </row>
    <row r="20" spans="1:30">
      <c r="A20" s="1">
        <v>16</v>
      </c>
      <c r="B20" s="3">
        <f t="shared" si="0"/>
        <v>261.94495060583245</v>
      </c>
      <c r="J20" s="18"/>
      <c r="K20" s="20"/>
      <c r="L20" s="19"/>
      <c r="M20" s="19"/>
      <c r="X20" s="28" t="s">
        <v>73</v>
      </c>
      <c r="Y20" s="45" t="s">
        <v>56</v>
      </c>
      <c r="Z20" s="50">
        <v>1</v>
      </c>
      <c r="AA20" s="38"/>
      <c r="AB20" s="38"/>
      <c r="AC20" s="38"/>
      <c r="AD20" s="38"/>
    </row>
    <row r="21" spans="1:30">
      <c r="A21" s="1">
        <v>17</v>
      </c>
      <c r="B21" s="3">
        <f t="shared" si="0"/>
        <v>275.04219813612406</v>
      </c>
      <c r="L21" s="9" t="s">
        <v>24</v>
      </c>
      <c r="M21" s="30">
        <f>SUM(M16:M20)</f>
        <v>13.200000000000001</v>
      </c>
      <c r="X21" s="45" t="s">
        <v>76</v>
      </c>
      <c r="Y21" s="45" t="s">
        <v>56</v>
      </c>
      <c r="Z21" s="29">
        <v>2</v>
      </c>
      <c r="AA21" s="42"/>
      <c r="AB21" s="42"/>
      <c r="AC21" s="42"/>
      <c r="AD21" s="38"/>
    </row>
    <row r="22" spans="1:30">
      <c r="A22" s="1">
        <v>18</v>
      </c>
      <c r="B22" s="3">
        <f t="shared" si="0"/>
        <v>288.79430804293025</v>
      </c>
      <c r="X22" s="45" t="s">
        <v>83</v>
      </c>
      <c r="Y22" s="45" t="s">
        <v>56</v>
      </c>
      <c r="Z22" s="29">
        <v>3</v>
      </c>
      <c r="AA22" s="42"/>
      <c r="AB22" s="42"/>
      <c r="AC22" s="42"/>
      <c r="AD22" s="38"/>
    </row>
    <row r="23" spans="1:30">
      <c r="A23" s="1">
        <v>19</v>
      </c>
      <c r="B23" s="3">
        <f t="shared" si="0"/>
        <v>303.23402344507679</v>
      </c>
      <c r="X23" s="42"/>
      <c r="Y23" s="42"/>
      <c r="Z23" s="42"/>
      <c r="AA23" s="42"/>
      <c r="AB23" s="42"/>
      <c r="AC23" s="42"/>
      <c r="AD23" s="38"/>
    </row>
    <row r="24" spans="1:30" ht="15.75">
      <c r="A24" s="4">
        <v>20</v>
      </c>
      <c r="B24" s="17">
        <f t="shared" si="0"/>
        <v>318.39572461733064</v>
      </c>
      <c r="X24" s="46" t="s">
        <v>78</v>
      </c>
      <c r="Y24" s="46"/>
      <c r="Z24" s="46"/>
      <c r="AA24" s="42"/>
      <c r="AB24" s="42"/>
      <c r="AC24" s="42"/>
      <c r="AD24" s="38"/>
    </row>
    <row r="25" spans="1:30">
      <c r="X25" s="45" t="s">
        <v>49</v>
      </c>
      <c r="Y25" s="45" t="s">
        <v>55</v>
      </c>
      <c r="Z25" s="45" t="s">
        <v>17</v>
      </c>
      <c r="AA25" s="42"/>
      <c r="AB25" s="42"/>
      <c r="AC25" s="42"/>
      <c r="AD25" s="38"/>
    </row>
    <row r="26" spans="1:30">
      <c r="X26" s="45"/>
      <c r="Y26" s="45"/>
      <c r="Z26" s="45"/>
      <c r="AA26" s="42"/>
      <c r="AB26" s="42"/>
      <c r="AC26" s="42"/>
      <c r="AD26" s="38"/>
    </row>
    <row r="27" spans="1:30">
      <c r="J27" s="30" t="s">
        <v>27</v>
      </c>
      <c r="N27" s="22">
        <f>H8/1000</f>
        <v>1.5477569946675798E-3</v>
      </c>
      <c r="X27" s="45" t="s">
        <v>50</v>
      </c>
      <c r="Y27" s="45" t="s">
        <v>57</v>
      </c>
      <c r="Z27" s="45">
        <v>90</v>
      </c>
      <c r="AA27" s="42"/>
      <c r="AB27" s="42"/>
      <c r="AC27" s="42"/>
      <c r="AD27" s="38"/>
    </row>
    <row r="28" spans="1:30">
      <c r="J28" s="67" t="s">
        <v>25</v>
      </c>
      <c r="K28" s="67"/>
      <c r="L28" s="67"/>
      <c r="N28" s="22">
        <v>140</v>
      </c>
      <c r="X28" s="45" t="s">
        <v>51</v>
      </c>
      <c r="Y28" s="45" t="s">
        <v>58</v>
      </c>
      <c r="Z28" s="45">
        <v>8</v>
      </c>
      <c r="AA28" s="42"/>
      <c r="AB28" s="42"/>
      <c r="AC28" s="42"/>
      <c r="AD28" s="38"/>
    </row>
    <row r="29" spans="1:30">
      <c r="J29" s="30" t="s">
        <v>26</v>
      </c>
      <c r="N29" s="30">
        <v>0.05</v>
      </c>
      <c r="X29" s="45" t="s">
        <v>77</v>
      </c>
      <c r="Y29" s="45" t="s">
        <v>59</v>
      </c>
      <c r="Z29" s="45">
        <v>380</v>
      </c>
      <c r="AA29" s="42"/>
      <c r="AB29" s="42"/>
      <c r="AC29" s="42"/>
      <c r="AD29" s="38"/>
    </row>
    <row r="30" spans="1:30">
      <c r="J30" s="68" t="s">
        <v>28</v>
      </c>
      <c r="K30" s="68"/>
      <c r="N30" s="30">
        <f>M21</f>
        <v>13.200000000000001</v>
      </c>
      <c r="X30" s="45" t="s">
        <v>71</v>
      </c>
      <c r="Y30" s="45" t="s">
        <v>60</v>
      </c>
      <c r="Z30" s="45">
        <v>450</v>
      </c>
      <c r="AA30" s="42"/>
      <c r="AB30" s="42"/>
      <c r="AC30" s="42"/>
      <c r="AD30" s="38"/>
    </row>
    <row r="31" spans="1:30">
      <c r="J31" s="68" t="s">
        <v>29</v>
      </c>
      <c r="K31" s="68"/>
      <c r="N31" s="30">
        <f>10.643*((N27/N28)^1.852)*(N30/(N29^4.87))</f>
        <v>0.20153686106323487</v>
      </c>
      <c r="X31" s="45" t="s">
        <v>52</v>
      </c>
      <c r="Y31" s="45" t="s">
        <v>60</v>
      </c>
      <c r="Z31" s="45">
        <v>450</v>
      </c>
      <c r="AD31" s="38"/>
    </row>
    <row r="32" spans="1:30">
      <c r="X32" s="45" t="s">
        <v>53</v>
      </c>
      <c r="Y32" s="45" t="s">
        <v>59</v>
      </c>
      <c r="Z32" s="45">
        <v>10</v>
      </c>
      <c r="AD32" s="38"/>
    </row>
    <row r="33" spans="10:30" ht="15" customHeight="1">
      <c r="X33" s="45" t="s">
        <v>54</v>
      </c>
      <c r="Y33" s="45" t="s">
        <v>58</v>
      </c>
      <c r="Z33" s="45">
        <v>140</v>
      </c>
      <c r="AD33" s="38"/>
    </row>
    <row r="34" spans="10:30" ht="15.75">
      <c r="J34" s="66" t="s">
        <v>30</v>
      </c>
      <c r="K34" s="66"/>
      <c r="L34" s="66"/>
      <c r="AD34" s="38"/>
    </row>
    <row r="35" spans="10:30" ht="15.75">
      <c r="X35" s="44" t="s">
        <v>63</v>
      </c>
      <c r="Y35" s="43"/>
      <c r="Z35" s="43"/>
      <c r="AA35" s="42"/>
      <c r="AB35" s="42"/>
      <c r="AD35" s="38"/>
    </row>
    <row r="36" spans="10:30">
      <c r="X36" s="45"/>
      <c r="Y36" s="45" t="s">
        <v>55</v>
      </c>
      <c r="Z36" s="45" t="s">
        <v>17</v>
      </c>
      <c r="AA36" s="42"/>
      <c r="AB36" s="42"/>
      <c r="AC36" s="42">
        <v>0.48</v>
      </c>
      <c r="AD36" s="38"/>
    </row>
    <row r="37" spans="10:30">
      <c r="X37" s="34" t="s">
        <v>64</v>
      </c>
      <c r="Y37" s="45" t="s">
        <v>14</v>
      </c>
      <c r="Z37" s="45">
        <f>Z11</f>
        <v>2751</v>
      </c>
      <c r="AA37" s="42">
        <f>SUM(Z37:Z39)</f>
        <v>4658</v>
      </c>
      <c r="AB37" s="42"/>
      <c r="AC37" s="42"/>
      <c r="AD37" s="38"/>
    </row>
    <row r="38" spans="10:30">
      <c r="X38" s="35" t="s">
        <v>79</v>
      </c>
      <c r="Y38" s="45" t="s">
        <v>14</v>
      </c>
      <c r="Z38" s="45">
        <f>Z12</f>
        <v>1096</v>
      </c>
      <c r="AA38" s="42"/>
      <c r="AB38" s="42">
        <f>0.75*AA37</f>
        <v>3493.5</v>
      </c>
      <c r="AC38" s="42"/>
      <c r="AD38" s="38"/>
    </row>
    <row r="39" spans="10:30">
      <c r="X39" s="35" t="s">
        <v>65</v>
      </c>
      <c r="Y39" s="45" t="s">
        <v>14</v>
      </c>
      <c r="Z39" s="45">
        <f>Z13</f>
        <v>811</v>
      </c>
      <c r="AA39" s="42"/>
      <c r="AB39" s="42">
        <f>0.2*AA37</f>
        <v>931.6</v>
      </c>
      <c r="AC39" s="42"/>
      <c r="AD39" s="38"/>
    </row>
    <row r="40" spans="10:30">
      <c r="X40" s="36" t="s">
        <v>74</v>
      </c>
      <c r="Y40" s="36" t="s">
        <v>58</v>
      </c>
      <c r="Z40" s="45">
        <f>AB38*AC36</f>
        <v>1676.8799999999999</v>
      </c>
      <c r="AA40" s="42"/>
      <c r="AB40" s="42">
        <f>0.05*AA37</f>
        <v>232.9</v>
      </c>
      <c r="AC40" s="42"/>
    </row>
    <row r="41" spans="10:30">
      <c r="X41" s="45" t="s">
        <v>70</v>
      </c>
      <c r="Y41" s="36" t="s">
        <v>58</v>
      </c>
      <c r="Z41" s="45">
        <f>AB39*AC36</f>
        <v>447.16800000000001</v>
      </c>
    </row>
    <row r="42" spans="10:30">
      <c r="K42" s="30" t="s">
        <v>31</v>
      </c>
      <c r="L42" s="30">
        <f>((10.643*((N27/N28)^1.852))/N8)^(1/4.87)</f>
        <v>4.1162007705755975E-2</v>
      </c>
      <c r="M42" s="30" t="s">
        <v>14</v>
      </c>
      <c r="X42" s="45" t="s">
        <v>75</v>
      </c>
      <c r="Y42" s="36" t="s">
        <v>58</v>
      </c>
      <c r="Z42" s="45">
        <f>AB40*AC36</f>
        <v>111.792</v>
      </c>
    </row>
    <row r="43" spans="10:30" ht="30">
      <c r="X43" s="31" t="s">
        <v>72</v>
      </c>
      <c r="Y43" s="45" t="s">
        <v>56</v>
      </c>
      <c r="Z43" s="45">
        <v>1</v>
      </c>
    </row>
    <row r="44" spans="10:30">
      <c r="X44" s="45" t="s">
        <v>66</v>
      </c>
      <c r="Y44" s="45" t="s">
        <v>69</v>
      </c>
      <c r="Z44" s="45">
        <v>300</v>
      </c>
    </row>
    <row r="45" spans="10:30" ht="15" customHeight="1">
      <c r="J45" s="61" t="s">
        <v>32</v>
      </c>
      <c r="K45" s="61"/>
      <c r="L45" s="61"/>
      <c r="M45" s="61"/>
      <c r="N45" s="61"/>
      <c r="X45" s="45" t="s">
        <v>67</v>
      </c>
      <c r="Y45" s="45" t="s">
        <v>69</v>
      </c>
      <c r="Z45" s="45">
        <v>90</v>
      </c>
    </row>
    <row r="46" spans="10:30" ht="15" customHeight="1">
      <c r="J46" s="61"/>
      <c r="K46" s="61"/>
      <c r="L46" s="61"/>
      <c r="M46" s="61"/>
      <c r="N46" s="61"/>
      <c r="X46" s="45" t="s">
        <v>68</v>
      </c>
      <c r="Y46" s="45" t="s">
        <v>69</v>
      </c>
      <c r="Z46" s="45">
        <v>400</v>
      </c>
    </row>
    <row r="47" spans="10:30" ht="15" customHeight="1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63" t="s">
        <v>37</v>
      </c>
      <c r="K58" s="63"/>
      <c r="L58" s="63"/>
      <c r="M58" s="63"/>
      <c r="N58" s="63"/>
    </row>
    <row r="59" spans="10:14" ht="15" customHeight="1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0" t="s">
        <v>40</v>
      </c>
      <c r="L62" s="30">
        <v>1.2</v>
      </c>
    </row>
    <row r="63" spans="10:14">
      <c r="K63" s="30" t="s">
        <v>31</v>
      </c>
      <c r="L63" s="30">
        <f>L61^(1/4)*L62*(N27^0.5)</f>
        <v>3.9698594834629015E-2</v>
      </c>
    </row>
  </sheetData>
  <mergeCells count="24">
    <mergeCell ref="X1:Z1"/>
    <mergeCell ref="A2:B2"/>
    <mergeCell ref="A1:C1"/>
    <mergeCell ref="E1:H1"/>
    <mergeCell ref="J1:O1"/>
    <mergeCell ref="R1:U1"/>
    <mergeCell ref="J10:L10"/>
    <mergeCell ref="R10:T10"/>
    <mergeCell ref="R11:T11"/>
    <mergeCell ref="J13:P13"/>
    <mergeCell ref="J28:L28"/>
    <mergeCell ref="J3:N3"/>
    <mergeCell ref="R7:T7"/>
    <mergeCell ref="J8:L8"/>
    <mergeCell ref="R8:U8"/>
    <mergeCell ref="J9:M9"/>
    <mergeCell ref="R9:S9"/>
    <mergeCell ref="J59:N59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oleObject progId="Equation.3" shapeId="4097" r:id="rId4"/>
    <oleObject progId="Equation.3" shapeId="4102" r:id="rId5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AC63"/>
  <sheetViews>
    <sheetView workbookViewId="0">
      <selection activeCell="G21" sqref="A1:XFD1048576"/>
    </sheetView>
  </sheetViews>
  <sheetFormatPr defaultRowHeight="15"/>
  <cols>
    <col min="1" max="1" width="9.140625" style="47" customWidth="1"/>
    <col min="2" max="9" width="9.140625" style="47"/>
    <col min="10" max="10" width="18.85546875" style="47" bestFit="1" customWidth="1"/>
    <col min="11" max="11" width="11.5703125" style="47" customWidth="1"/>
    <col min="12" max="12" width="9.140625" style="47"/>
    <col min="13" max="13" width="9.140625" style="47" customWidth="1"/>
    <col min="14" max="14" width="9.5703125" style="47" bestFit="1" customWidth="1"/>
    <col min="15" max="23" width="9.140625" style="47"/>
    <col min="24" max="24" width="75.28515625" style="47" bestFit="1" customWidth="1"/>
    <col min="25" max="25" width="9.140625" style="47"/>
    <col min="26" max="26" width="11.42578125" style="47" customWidth="1"/>
    <col min="27" max="28" width="9" style="47" customWidth="1"/>
    <col min="29" max="29" width="9.140625" style="47" customWidth="1"/>
    <col min="30" max="16384" width="9.140625" style="47"/>
  </cols>
  <sheetData>
    <row r="1" spans="1:26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66" t="s">
        <v>61</v>
      </c>
      <c r="Y1" s="66"/>
      <c r="Z1" s="66"/>
    </row>
    <row r="2" spans="1:26">
      <c r="A2" s="73" t="s">
        <v>94</v>
      </c>
      <c r="B2" s="74"/>
    </row>
    <row r="3" spans="1:26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49" t="s">
        <v>62</v>
      </c>
    </row>
    <row r="4" spans="1:26">
      <c r="A4" s="1">
        <v>0</v>
      </c>
      <c r="B4" s="41">
        <v>220</v>
      </c>
    </row>
    <row r="5" spans="1:26">
      <c r="A5" s="1">
        <v>1</v>
      </c>
      <c r="B5" s="3">
        <f>B4*1.05</f>
        <v>231</v>
      </c>
      <c r="X5" s="47" t="s">
        <v>49</v>
      </c>
      <c r="Y5" s="47" t="s">
        <v>55</v>
      </c>
      <c r="Z5" s="47" t="s">
        <v>17</v>
      </c>
    </row>
    <row r="6" spans="1:26">
      <c r="A6" s="1">
        <v>2</v>
      </c>
      <c r="B6" s="3">
        <f t="shared" ref="B6:B24" si="0">B5*1.05</f>
        <v>242.55</v>
      </c>
      <c r="E6" s="47" t="s">
        <v>4</v>
      </c>
      <c r="F6" s="47" t="s">
        <v>5</v>
      </c>
      <c r="G6" s="47" t="s">
        <v>6</v>
      </c>
      <c r="H6" s="47" t="s">
        <v>7</v>
      </c>
    </row>
    <row r="7" spans="1:26">
      <c r="A7" s="1">
        <v>3</v>
      </c>
      <c r="B7" s="3">
        <f t="shared" si="0"/>
        <v>254.67750000000001</v>
      </c>
      <c r="E7" s="47">
        <v>1.2</v>
      </c>
      <c r="F7" s="47">
        <v>200</v>
      </c>
      <c r="G7" s="23">
        <f>B24</f>
        <v>583.72549513177307</v>
      </c>
      <c r="H7" s="22">
        <f>(E7*F7*G7)/86400</f>
        <v>1.6214597086993696</v>
      </c>
      <c r="R7" s="68" t="s">
        <v>42</v>
      </c>
      <c r="S7" s="68"/>
      <c r="T7" s="68"/>
      <c r="X7" s="47" t="s">
        <v>20</v>
      </c>
      <c r="Y7" s="47" t="s">
        <v>56</v>
      </c>
      <c r="Z7" s="47">
        <v>3</v>
      </c>
    </row>
    <row r="8" spans="1:26">
      <c r="A8" s="1">
        <v>4</v>
      </c>
      <c r="B8" s="3">
        <f t="shared" si="0"/>
        <v>267.41137500000002</v>
      </c>
      <c r="H8" s="47">
        <f>H7*1.75</f>
        <v>2.8375544902238969</v>
      </c>
      <c r="J8" s="68" t="s">
        <v>10</v>
      </c>
      <c r="K8" s="68"/>
      <c r="L8" s="68"/>
      <c r="N8" s="6">
        <f>N9/N10</f>
        <v>6.1224489795918366E-2</v>
      </c>
      <c r="O8" s="47" t="s">
        <v>13</v>
      </c>
      <c r="R8" s="68" t="s">
        <v>43</v>
      </c>
      <c r="S8" s="68"/>
      <c r="T8" s="68"/>
      <c r="U8" s="68"/>
      <c r="V8" s="47">
        <f xml:space="preserve"> 1000</f>
        <v>1000</v>
      </c>
      <c r="X8" s="47" t="s">
        <v>21</v>
      </c>
      <c r="Y8" s="47" t="s">
        <v>56</v>
      </c>
      <c r="Z8" s="47">
        <v>1</v>
      </c>
    </row>
    <row r="9" spans="1:26">
      <c r="A9" s="1">
        <v>5</v>
      </c>
      <c r="B9" s="3">
        <f t="shared" si="0"/>
        <v>280.78194375000004</v>
      </c>
      <c r="J9" s="68" t="s">
        <v>11</v>
      </c>
      <c r="K9" s="68"/>
      <c r="L9" s="68"/>
      <c r="M9" s="68"/>
      <c r="N9" s="21">
        <v>6</v>
      </c>
      <c r="O9" s="47" t="s">
        <v>14</v>
      </c>
      <c r="R9" s="68" t="s">
        <v>44</v>
      </c>
      <c r="S9" s="68"/>
      <c r="X9" s="47" t="s">
        <v>91</v>
      </c>
      <c r="Y9" s="47" t="s">
        <v>56</v>
      </c>
      <c r="Z9" s="47">
        <v>4</v>
      </c>
    </row>
    <row r="10" spans="1:26">
      <c r="A10" s="1">
        <v>6</v>
      </c>
      <c r="B10" s="3">
        <f t="shared" si="0"/>
        <v>294.82104093750007</v>
      </c>
      <c r="J10" s="68" t="s">
        <v>12</v>
      </c>
      <c r="K10" s="68"/>
      <c r="L10" s="68"/>
      <c r="N10" s="21">
        <v>98</v>
      </c>
      <c r="O10" s="47" t="s">
        <v>14</v>
      </c>
      <c r="R10" s="68" t="s">
        <v>45</v>
      </c>
      <c r="S10" s="68"/>
      <c r="T10" s="68"/>
      <c r="X10" s="47" t="s">
        <v>90</v>
      </c>
      <c r="Y10" s="47" t="s">
        <v>56</v>
      </c>
      <c r="Z10" s="47">
        <v>5</v>
      </c>
    </row>
    <row r="11" spans="1:26">
      <c r="A11" s="1">
        <v>7</v>
      </c>
      <c r="B11" s="3">
        <f t="shared" si="0"/>
        <v>309.56209298437511</v>
      </c>
      <c r="R11" s="65" t="s">
        <v>48</v>
      </c>
      <c r="S11" s="65"/>
      <c r="T11" s="65"/>
      <c r="V11" s="16">
        <v>0.7</v>
      </c>
      <c r="X11" s="47" t="s">
        <v>80</v>
      </c>
      <c r="Y11" s="47" t="s">
        <v>14</v>
      </c>
      <c r="Z11" s="47">
        <v>4895</v>
      </c>
    </row>
    <row r="12" spans="1:26">
      <c r="A12" s="1">
        <v>8</v>
      </c>
      <c r="B12" s="3">
        <f t="shared" si="0"/>
        <v>325.04019763359389</v>
      </c>
      <c r="D12" s="47">
        <f>44*5</f>
        <v>220</v>
      </c>
      <c r="R12" s="47" t="s">
        <v>46</v>
      </c>
      <c r="S12" s="47">
        <f>V8*N27*(N9+M21)/(75*0.7)</f>
        <v>1.0377342135675967</v>
      </c>
      <c r="T12" s="47" t="s">
        <v>47</v>
      </c>
      <c r="X12" s="24" t="s">
        <v>87</v>
      </c>
      <c r="Y12" s="47" t="s">
        <v>14</v>
      </c>
      <c r="Z12" s="47">
        <v>2774</v>
      </c>
    </row>
    <row r="13" spans="1:26" ht="15.75">
      <c r="A13" s="1">
        <v>9</v>
      </c>
      <c r="B13" s="3">
        <f t="shared" si="0"/>
        <v>341.29220751527362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47" t="s">
        <v>14</v>
      </c>
      <c r="Z13" s="27">
        <v>1697</v>
      </c>
    </row>
    <row r="14" spans="1:26">
      <c r="A14" s="1">
        <v>10</v>
      </c>
      <c r="B14" s="3">
        <f t="shared" si="0"/>
        <v>358.35681789103734</v>
      </c>
      <c r="X14" s="25" t="s">
        <v>89</v>
      </c>
      <c r="Y14" s="47" t="s">
        <v>56</v>
      </c>
      <c r="Z14" s="27">
        <v>1</v>
      </c>
    </row>
    <row r="15" spans="1:26" ht="16.5" customHeight="1">
      <c r="A15" s="1">
        <v>11</v>
      </c>
      <c r="B15" s="3">
        <f t="shared" si="0"/>
        <v>376.27465878558922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47" t="s">
        <v>56</v>
      </c>
      <c r="Z15" s="27">
        <v>45</v>
      </c>
    </row>
    <row r="16" spans="1:26">
      <c r="A16" s="1">
        <v>12</v>
      </c>
      <c r="B16" s="3">
        <f t="shared" si="0"/>
        <v>395.0883917248687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47" t="s">
        <v>56</v>
      </c>
      <c r="Z16" s="27">
        <v>44</v>
      </c>
    </row>
    <row r="17" spans="1:26">
      <c r="A17" s="1">
        <v>13</v>
      </c>
      <c r="B17" s="3">
        <f t="shared" si="0"/>
        <v>414.84281131111214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47" t="s">
        <v>56</v>
      </c>
      <c r="Z17" s="27">
        <v>36</v>
      </c>
    </row>
    <row r="18" spans="1:26">
      <c r="A18" s="1">
        <v>14</v>
      </c>
      <c r="B18" s="3">
        <f t="shared" si="0"/>
        <v>435.58495187666779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47" t="s">
        <v>56</v>
      </c>
      <c r="Z18" s="27">
        <v>8</v>
      </c>
    </row>
    <row r="19" spans="1:26">
      <c r="A19" s="1">
        <v>15</v>
      </c>
      <c r="B19" s="3">
        <f t="shared" si="0"/>
        <v>457.36419947050121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47" t="s">
        <v>56</v>
      </c>
      <c r="Z19" s="27">
        <v>8</v>
      </c>
    </row>
    <row r="20" spans="1:26">
      <c r="A20" s="1">
        <v>16</v>
      </c>
      <c r="B20" s="3">
        <f t="shared" si="0"/>
        <v>480.2324094440263</v>
      </c>
      <c r="J20" s="18"/>
      <c r="K20" s="20"/>
      <c r="L20" s="19"/>
      <c r="M20" s="19"/>
      <c r="X20" s="28" t="s">
        <v>73</v>
      </c>
      <c r="Y20" s="47" t="s">
        <v>56</v>
      </c>
      <c r="Z20" s="50">
        <v>1</v>
      </c>
    </row>
    <row r="21" spans="1:26">
      <c r="A21" s="1">
        <v>17</v>
      </c>
      <c r="B21" s="3">
        <f t="shared" si="0"/>
        <v>504.24402991622765</v>
      </c>
      <c r="L21" s="9" t="s">
        <v>24</v>
      </c>
      <c r="M21" s="47">
        <f>SUM(M16:M20)</f>
        <v>13.200000000000001</v>
      </c>
      <c r="X21" s="47" t="s">
        <v>76</v>
      </c>
      <c r="Y21" s="47" t="s">
        <v>56</v>
      </c>
      <c r="Z21" s="29">
        <v>2</v>
      </c>
    </row>
    <row r="22" spans="1:26">
      <c r="A22" s="1">
        <v>18</v>
      </c>
      <c r="B22" s="3">
        <f t="shared" si="0"/>
        <v>529.45623141203907</v>
      </c>
      <c r="X22" s="47" t="s">
        <v>83</v>
      </c>
      <c r="Y22" s="47" t="s">
        <v>56</v>
      </c>
      <c r="Z22" s="29">
        <v>2</v>
      </c>
    </row>
    <row r="23" spans="1:26">
      <c r="A23" s="1">
        <v>19</v>
      </c>
      <c r="B23" s="3">
        <f t="shared" si="0"/>
        <v>555.92904298264102</v>
      </c>
    </row>
    <row r="24" spans="1:26" ht="15.75">
      <c r="A24" s="4">
        <v>20</v>
      </c>
      <c r="B24" s="17">
        <f t="shared" si="0"/>
        <v>583.72549513177307</v>
      </c>
      <c r="X24" s="49" t="s">
        <v>78</v>
      </c>
      <c r="Y24" s="49"/>
      <c r="Z24" s="49"/>
    </row>
    <row r="25" spans="1:26">
      <c r="X25" s="47" t="s">
        <v>49</v>
      </c>
      <c r="Y25" s="47" t="s">
        <v>55</v>
      </c>
      <c r="Z25" s="47" t="s">
        <v>17</v>
      </c>
    </row>
    <row r="27" spans="1:26">
      <c r="J27" s="47" t="s">
        <v>27</v>
      </c>
      <c r="N27" s="22">
        <f>H8/1000</f>
        <v>2.837554490223897E-3</v>
      </c>
      <c r="X27" s="47" t="s">
        <v>50</v>
      </c>
      <c r="Y27" s="47" t="s">
        <v>57</v>
      </c>
      <c r="Z27" s="47">
        <v>90</v>
      </c>
    </row>
    <row r="28" spans="1:26">
      <c r="J28" s="67" t="s">
        <v>25</v>
      </c>
      <c r="K28" s="67"/>
      <c r="L28" s="67"/>
      <c r="N28" s="22">
        <v>140</v>
      </c>
      <c r="X28" s="47" t="s">
        <v>51</v>
      </c>
      <c r="Y28" s="47" t="s">
        <v>58</v>
      </c>
      <c r="Z28" s="47">
        <v>8</v>
      </c>
    </row>
    <row r="29" spans="1:26">
      <c r="J29" s="47" t="s">
        <v>26</v>
      </c>
      <c r="N29" s="47">
        <v>0.05</v>
      </c>
      <c r="X29" s="47" t="s">
        <v>77</v>
      </c>
      <c r="Y29" s="47" t="s">
        <v>59</v>
      </c>
      <c r="Z29" s="47">
        <v>380</v>
      </c>
    </row>
    <row r="30" spans="1:26">
      <c r="J30" s="68" t="s">
        <v>28</v>
      </c>
      <c r="K30" s="68"/>
      <c r="N30" s="47">
        <f>M21</f>
        <v>13.200000000000001</v>
      </c>
      <c r="X30" s="47" t="s">
        <v>71</v>
      </c>
      <c r="Y30" s="47" t="s">
        <v>60</v>
      </c>
      <c r="Z30" s="47">
        <v>450</v>
      </c>
    </row>
    <row r="31" spans="1:26">
      <c r="J31" s="68" t="s">
        <v>29</v>
      </c>
      <c r="K31" s="68"/>
      <c r="N31" s="47">
        <f>10.643*((N27/N28)^1.852)*(N30/(N29^4.87))</f>
        <v>0.61926655761362892</v>
      </c>
      <c r="X31" s="47" t="s">
        <v>52</v>
      </c>
      <c r="Y31" s="47" t="s">
        <v>60</v>
      </c>
      <c r="Z31" s="47">
        <v>450</v>
      </c>
    </row>
    <row r="32" spans="1:26">
      <c r="X32" s="47" t="s">
        <v>53</v>
      </c>
      <c r="Y32" s="47" t="s">
        <v>59</v>
      </c>
      <c r="Z32" s="47">
        <v>10</v>
      </c>
    </row>
    <row r="33" spans="10:29" ht="15" customHeight="1">
      <c r="X33" s="47" t="s">
        <v>54</v>
      </c>
      <c r="Y33" s="47" t="s">
        <v>58</v>
      </c>
      <c r="Z33" s="47">
        <v>140</v>
      </c>
    </row>
    <row r="34" spans="10:29" ht="15.75">
      <c r="J34" s="66" t="s">
        <v>30</v>
      </c>
      <c r="K34" s="66"/>
      <c r="L34" s="66"/>
    </row>
    <row r="35" spans="10:29" ht="15.75">
      <c r="X35" s="48" t="s">
        <v>63</v>
      </c>
      <c r="Y35" s="43"/>
      <c r="Z35" s="43"/>
    </row>
    <row r="36" spans="10:29">
      <c r="Y36" s="47" t="s">
        <v>55</v>
      </c>
      <c r="Z36" s="47" t="s">
        <v>17</v>
      </c>
      <c r="AC36" s="47">
        <v>0.48</v>
      </c>
    </row>
    <row r="37" spans="10:29">
      <c r="X37" s="34" t="s">
        <v>64</v>
      </c>
      <c r="Y37" s="47" t="s">
        <v>14</v>
      </c>
      <c r="Z37" s="47">
        <f>Z11</f>
        <v>4895</v>
      </c>
      <c r="AA37" s="47">
        <f>SUM(Z37:Z39)</f>
        <v>9366</v>
      </c>
    </row>
    <row r="38" spans="10:29">
      <c r="X38" s="35" t="s">
        <v>79</v>
      </c>
      <c r="Y38" s="47" t="s">
        <v>14</v>
      </c>
      <c r="Z38" s="47">
        <f>Z12</f>
        <v>2774</v>
      </c>
      <c r="AB38" s="47">
        <f>0.75*AA37</f>
        <v>7024.5</v>
      </c>
    </row>
    <row r="39" spans="10:29">
      <c r="X39" s="35" t="s">
        <v>65</v>
      </c>
      <c r="Y39" s="47" t="s">
        <v>14</v>
      </c>
      <c r="Z39" s="47">
        <f>Z13</f>
        <v>1697</v>
      </c>
      <c r="AB39" s="47">
        <f>0.2*AA37</f>
        <v>1873.2</v>
      </c>
    </row>
    <row r="40" spans="10:29">
      <c r="X40" s="36" t="s">
        <v>74</v>
      </c>
      <c r="Y40" s="36" t="s">
        <v>58</v>
      </c>
      <c r="Z40" s="47">
        <f>AB38*AC36</f>
        <v>3371.7599999999998</v>
      </c>
      <c r="AB40" s="47">
        <f>0.05*AA37</f>
        <v>468.3</v>
      </c>
    </row>
    <row r="41" spans="10:29">
      <c r="X41" s="47" t="s">
        <v>70</v>
      </c>
      <c r="Y41" s="36" t="s">
        <v>58</v>
      </c>
      <c r="Z41" s="47">
        <f>AB39*AC36</f>
        <v>899.13599999999997</v>
      </c>
    </row>
    <row r="42" spans="10:29">
      <c r="K42" s="47" t="s">
        <v>31</v>
      </c>
      <c r="L42" s="47">
        <f>((10.643*((N27/N28)^1.852))/N8)^(1/4.87)</f>
        <v>4.7340018970902266E-2</v>
      </c>
      <c r="M42" s="47" t="s">
        <v>14</v>
      </c>
      <c r="X42" s="47" t="s">
        <v>75</v>
      </c>
      <c r="Y42" s="36" t="s">
        <v>58</v>
      </c>
      <c r="Z42" s="47">
        <f>AB40*AC36</f>
        <v>224.78399999999999</v>
      </c>
    </row>
    <row r="43" spans="10:29" ht="30">
      <c r="X43" s="31" t="s">
        <v>72</v>
      </c>
      <c r="Y43" s="47" t="s">
        <v>56</v>
      </c>
      <c r="Z43" s="47">
        <v>1</v>
      </c>
    </row>
    <row r="44" spans="10:29">
      <c r="X44" s="47" t="s">
        <v>66</v>
      </c>
      <c r="Y44" s="47" t="s">
        <v>69</v>
      </c>
      <c r="Z44" s="47">
        <v>300</v>
      </c>
    </row>
    <row r="45" spans="10:29" ht="15" customHeight="1">
      <c r="J45" s="61" t="s">
        <v>32</v>
      </c>
      <c r="K45" s="61"/>
      <c r="L45" s="61"/>
      <c r="M45" s="61"/>
      <c r="N45" s="61"/>
      <c r="X45" s="47" t="s">
        <v>67</v>
      </c>
      <c r="Y45" s="47" t="s">
        <v>69</v>
      </c>
      <c r="Z45" s="47">
        <v>90</v>
      </c>
    </row>
    <row r="46" spans="10:29" ht="15" customHeight="1">
      <c r="J46" s="61"/>
      <c r="K46" s="61"/>
      <c r="L46" s="61"/>
      <c r="M46" s="61"/>
      <c r="N46" s="61"/>
      <c r="X46" s="47" t="s">
        <v>68</v>
      </c>
      <c r="Y46" s="47" t="s">
        <v>69</v>
      </c>
      <c r="Z46" s="47">
        <v>400</v>
      </c>
    </row>
    <row r="47" spans="10:29" ht="15" customHeight="1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63" t="s">
        <v>37</v>
      </c>
      <c r="K58" s="63"/>
      <c r="L58" s="63"/>
      <c r="M58" s="63"/>
      <c r="N58" s="63"/>
    </row>
    <row r="59" spans="10:14" ht="15" customHeight="1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47" t="s">
        <v>40</v>
      </c>
      <c r="L62" s="47">
        <v>1.2</v>
      </c>
    </row>
    <row r="63" spans="10:14">
      <c r="K63" s="47" t="s">
        <v>31</v>
      </c>
      <c r="L63" s="47">
        <f>L61^(1/4)*L62*(N27^0.5)</f>
        <v>5.3752151507768152E-2</v>
      </c>
    </row>
  </sheetData>
  <mergeCells count="24"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5121" r:id="rId3"/>
    <oleObject progId="Equation.3" shapeId="5126" r:id="rId4"/>
    <oleObject progId="Equation.3" shapeId="5127" r:id="rId5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AC63"/>
  <sheetViews>
    <sheetView workbookViewId="0">
      <selection activeCell="G12" sqref="A1:XFD1048576"/>
    </sheetView>
  </sheetViews>
  <sheetFormatPr defaultRowHeight="15"/>
  <cols>
    <col min="1" max="1" width="9.140625" style="47" customWidth="1"/>
    <col min="2" max="9" width="9.140625" style="47"/>
    <col min="10" max="10" width="18.85546875" style="47" bestFit="1" customWidth="1"/>
    <col min="11" max="11" width="11.5703125" style="47" customWidth="1"/>
    <col min="12" max="12" width="9.140625" style="47"/>
    <col min="13" max="13" width="9.140625" style="47" customWidth="1"/>
    <col min="14" max="14" width="9.5703125" style="47" bestFit="1" customWidth="1"/>
    <col min="15" max="23" width="9.140625" style="47"/>
    <col min="24" max="24" width="75.28515625" style="47" bestFit="1" customWidth="1"/>
    <col min="25" max="25" width="9.140625" style="47"/>
    <col min="26" max="26" width="11.42578125" style="47" customWidth="1"/>
    <col min="27" max="28" width="9" style="47" customWidth="1"/>
    <col min="29" max="29" width="9.140625" style="47" customWidth="1"/>
    <col min="30" max="16384" width="9.140625" style="47"/>
  </cols>
  <sheetData>
    <row r="1" spans="1:26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66" t="s">
        <v>61</v>
      </c>
      <c r="Y1" s="66"/>
      <c r="Z1" s="66"/>
    </row>
    <row r="2" spans="1:26">
      <c r="A2" s="73" t="s">
        <v>96</v>
      </c>
      <c r="B2" s="74"/>
    </row>
    <row r="3" spans="1:26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49" t="s">
        <v>62</v>
      </c>
    </row>
    <row r="4" spans="1:26">
      <c r="A4" s="1">
        <v>0</v>
      </c>
      <c r="B4" s="41">
        <v>145</v>
      </c>
    </row>
    <row r="5" spans="1:26">
      <c r="A5" s="1">
        <v>1</v>
      </c>
      <c r="B5" s="3">
        <f>B4*1.05</f>
        <v>152.25</v>
      </c>
      <c r="X5" s="47" t="s">
        <v>49</v>
      </c>
      <c r="Y5" s="47" t="s">
        <v>55</v>
      </c>
      <c r="Z5" s="47" t="s">
        <v>17</v>
      </c>
    </row>
    <row r="6" spans="1:26">
      <c r="A6" s="1">
        <v>2</v>
      </c>
      <c r="B6" s="3">
        <f t="shared" ref="B6:B24" si="0">B5*1.05</f>
        <v>159.86250000000001</v>
      </c>
      <c r="E6" s="47" t="s">
        <v>4</v>
      </c>
      <c r="F6" s="47" t="s">
        <v>5</v>
      </c>
      <c r="G6" s="47" t="s">
        <v>6</v>
      </c>
      <c r="H6" s="47" t="s">
        <v>7</v>
      </c>
    </row>
    <row r="7" spans="1:26">
      <c r="A7" s="1">
        <v>3</v>
      </c>
      <c r="B7" s="3">
        <f t="shared" si="0"/>
        <v>167.85562500000003</v>
      </c>
      <c r="E7" s="47">
        <v>1.2</v>
      </c>
      <c r="F7" s="47">
        <v>200</v>
      </c>
      <c r="G7" s="23">
        <f>B24</f>
        <v>384.72816724594128</v>
      </c>
      <c r="H7" s="22">
        <f>(E7*F7*G7)/86400</f>
        <v>1.0686893534609481</v>
      </c>
      <c r="R7" s="68" t="s">
        <v>42</v>
      </c>
      <c r="S7" s="68"/>
      <c r="T7" s="68"/>
      <c r="X7" s="47" t="s">
        <v>20</v>
      </c>
      <c r="Y7" s="47" t="s">
        <v>56</v>
      </c>
      <c r="Z7" s="47">
        <v>4</v>
      </c>
    </row>
    <row r="8" spans="1:26">
      <c r="A8" s="1">
        <v>4</v>
      </c>
      <c r="B8" s="3">
        <f t="shared" si="0"/>
        <v>176.24840625000004</v>
      </c>
      <c r="H8" s="47">
        <f>H7*1.75</f>
        <v>1.870206368556659</v>
      </c>
      <c r="J8" s="68" t="s">
        <v>10</v>
      </c>
      <c r="K8" s="68"/>
      <c r="L8" s="68"/>
      <c r="N8" s="6">
        <f>N9/N10</f>
        <v>0.14182692307692307</v>
      </c>
      <c r="O8" s="47" t="s">
        <v>13</v>
      </c>
      <c r="R8" s="68" t="s">
        <v>43</v>
      </c>
      <c r="S8" s="68"/>
      <c r="T8" s="68"/>
      <c r="U8" s="68"/>
      <c r="V8" s="47">
        <f xml:space="preserve"> 1000</f>
        <v>1000</v>
      </c>
      <c r="X8" s="47" t="s">
        <v>21</v>
      </c>
      <c r="Y8" s="47" t="s">
        <v>56</v>
      </c>
      <c r="Z8" s="47">
        <v>1</v>
      </c>
    </row>
    <row r="9" spans="1:26">
      <c r="A9" s="1">
        <v>5</v>
      </c>
      <c r="B9" s="3">
        <f t="shared" si="0"/>
        <v>185.06082656250007</v>
      </c>
      <c r="J9" s="68" t="s">
        <v>11</v>
      </c>
      <c r="K9" s="68"/>
      <c r="L9" s="68"/>
      <c r="M9" s="68"/>
      <c r="N9" s="21">
        <v>59</v>
      </c>
      <c r="O9" s="47" t="s">
        <v>14</v>
      </c>
      <c r="R9" s="68" t="s">
        <v>44</v>
      </c>
      <c r="S9" s="68"/>
      <c r="X9" s="47" t="s">
        <v>91</v>
      </c>
      <c r="Y9" s="47" t="s">
        <v>56</v>
      </c>
      <c r="Z9" s="47">
        <v>5</v>
      </c>
    </row>
    <row r="10" spans="1:26">
      <c r="A10" s="1">
        <v>6</v>
      </c>
      <c r="B10" s="3">
        <f t="shared" si="0"/>
        <v>194.31386789062509</v>
      </c>
      <c r="J10" s="68" t="s">
        <v>12</v>
      </c>
      <c r="K10" s="68"/>
      <c r="L10" s="68"/>
      <c r="N10" s="21">
        <v>416</v>
      </c>
      <c r="O10" s="47" t="s">
        <v>14</v>
      </c>
      <c r="R10" s="68" t="s">
        <v>45</v>
      </c>
      <c r="S10" s="68"/>
      <c r="T10" s="68"/>
      <c r="X10" s="47" t="s">
        <v>90</v>
      </c>
      <c r="Y10" s="47" t="s">
        <v>56</v>
      </c>
      <c r="Z10" s="47">
        <v>7</v>
      </c>
    </row>
    <row r="11" spans="1:26">
      <c r="A11" s="1">
        <v>7</v>
      </c>
      <c r="B11" s="3">
        <f t="shared" si="0"/>
        <v>204.02956128515635</v>
      </c>
      <c r="R11" s="65" t="s">
        <v>48</v>
      </c>
      <c r="S11" s="65"/>
      <c r="T11" s="65"/>
      <c r="V11" s="16">
        <v>0.7</v>
      </c>
      <c r="X11" s="47" t="s">
        <v>80</v>
      </c>
      <c r="Y11" s="47" t="s">
        <v>14</v>
      </c>
      <c r="Z11" s="47">
        <v>4247</v>
      </c>
    </row>
    <row r="12" spans="1:26">
      <c r="A12" s="1">
        <v>8</v>
      </c>
      <c r="B12" s="3">
        <f t="shared" si="0"/>
        <v>214.23103934941417</v>
      </c>
      <c r="D12" s="47">
        <f>29*5</f>
        <v>145</v>
      </c>
      <c r="R12" s="47" t="s">
        <v>46</v>
      </c>
      <c r="S12" s="47">
        <f>V8*N27*(N9+M21)/(75*0.7)</f>
        <v>2.5719790439960146</v>
      </c>
      <c r="T12" s="47" t="s">
        <v>47</v>
      </c>
      <c r="X12" s="24" t="s">
        <v>87</v>
      </c>
      <c r="Y12" s="47" t="s">
        <v>14</v>
      </c>
      <c r="Z12" s="47">
        <v>1375</v>
      </c>
    </row>
    <row r="13" spans="1:26" ht="15.75">
      <c r="A13" s="1">
        <v>9</v>
      </c>
      <c r="B13" s="3">
        <f t="shared" si="0"/>
        <v>224.94259131688489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47" t="s">
        <v>14</v>
      </c>
      <c r="Z13" s="27">
        <v>1121</v>
      </c>
    </row>
    <row r="14" spans="1:26">
      <c r="A14" s="1">
        <v>10</v>
      </c>
      <c r="B14" s="3">
        <f t="shared" si="0"/>
        <v>236.18972088272915</v>
      </c>
      <c r="X14" s="25" t="s">
        <v>89</v>
      </c>
      <c r="Y14" s="47" t="s">
        <v>56</v>
      </c>
      <c r="Z14" s="27">
        <v>1</v>
      </c>
    </row>
    <row r="15" spans="1:26" ht="14.25" customHeight="1">
      <c r="A15" s="1">
        <v>11</v>
      </c>
      <c r="B15" s="3">
        <f t="shared" si="0"/>
        <v>247.99920692686561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47" t="s">
        <v>56</v>
      </c>
      <c r="Z15" s="27">
        <v>32</v>
      </c>
    </row>
    <row r="16" spans="1:26">
      <c r="A16" s="1">
        <v>12</v>
      </c>
      <c r="B16" s="3">
        <f t="shared" si="0"/>
        <v>260.39916727320889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47" t="s">
        <v>56</v>
      </c>
      <c r="Z16" s="27">
        <v>29</v>
      </c>
    </row>
    <row r="17" spans="1:26">
      <c r="A17" s="1">
        <v>13</v>
      </c>
      <c r="B17" s="3">
        <f t="shared" si="0"/>
        <v>273.41912563686935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47" t="s">
        <v>56</v>
      </c>
      <c r="Z17" s="27">
        <v>23</v>
      </c>
    </row>
    <row r="18" spans="1:26">
      <c r="A18" s="1">
        <v>14</v>
      </c>
      <c r="B18" s="3">
        <f t="shared" si="0"/>
        <v>287.09008191871283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47" t="s">
        <v>56</v>
      </c>
      <c r="Z18" s="27">
        <v>6</v>
      </c>
    </row>
    <row r="19" spans="1:26">
      <c r="A19" s="1">
        <v>15</v>
      </c>
      <c r="B19" s="3">
        <f t="shared" si="0"/>
        <v>301.44458601464851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47" t="s">
        <v>56</v>
      </c>
      <c r="Z19" s="27">
        <v>6</v>
      </c>
    </row>
    <row r="20" spans="1:26">
      <c r="A20" s="1">
        <v>16</v>
      </c>
      <c r="B20" s="3">
        <f t="shared" si="0"/>
        <v>316.51681531538094</v>
      </c>
      <c r="J20" s="18"/>
      <c r="K20" s="20"/>
      <c r="L20" s="19"/>
      <c r="M20" s="19"/>
      <c r="X20" s="28" t="s">
        <v>73</v>
      </c>
      <c r="Y20" s="47" t="s">
        <v>56</v>
      </c>
      <c r="Z20" s="50">
        <v>1</v>
      </c>
    </row>
    <row r="21" spans="1:26">
      <c r="A21" s="1">
        <v>17</v>
      </c>
      <c r="B21" s="3">
        <f t="shared" si="0"/>
        <v>332.34265608114998</v>
      </c>
      <c r="L21" s="9" t="s">
        <v>24</v>
      </c>
      <c r="M21" s="47">
        <f>SUM(M16:M20)</f>
        <v>13.200000000000001</v>
      </c>
      <c r="X21" s="47" t="s">
        <v>76</v>
      </c>
      <c r="Y21" s="47" t="s">
        <v>56</v>
      </c>
      <c r="Z21" s="29">
        <v>2</v>
      </c>
    </row>
    <row r="22" spans="1:26">
      <c r="A22" s="1">
        <v>18</v>
      </c>
      <c r="B22" s="3">
        <f t="shared" si="0"/>
        <v>348.9597888852075</v>
      </c>
      <c r="X22" s="47" t="s">
        <v>83</v>
      </c>
      <c r="Y22" s="47" t="s">
        <v>56</v>
      </c>
      <c r="Z22" s="29">
        <v>3</v>
      </c>
    </row>
    <row r="23" spans="1:26">
      <c r="A23" s="1">
        <v>19</v>
      </c>
      <c r="B23" s="3">
        <f t="shared" si="0"/>
        <v>366.40777832946787</v>
      </c>
    </row>
    <row r="24" spans="1:26" ht="15.75">
      <c r="A24" s="4">
        <v>20</v>
      </c>
      <c r="B24" s="17">
        <f t="shared" si="0"/>
        <v>384.72816724594128</v>
      </c>
      <c r="X24" s="49" t="s">
        <v>78</v>
      </c>
      <c r="Y24" s="49"/>
      <c r="Z24" s="49"/>
    </row>
    <row r="25" spans="1:26">
      <c r="X25" s="47" t="s">
        <v>49</v>
      </c>
      <c r="Y25" s="47" t="s">
        <v>55</v>
      </c>
      <c r="Z25" s="47" t="s">
        <v>17</v>
      </c>
    </row>
    <row r="27" spans="1:26">
      <c r="J27" s="47" t="s">
        <v>27</v>
      </c>
      <c r="N27" s="22">
        <f>H8/1000</f>
        <v>1.8702063685566591E-3</v>
      </c>
      <c r="X27" s="47" t="s">
        <v>50</v>
      </c>
      <c r="Y27" s="47" t="s">
        <v>57</v>
      </c>
      <c r="Z27" s="47">
        <v>90</v>
      </c>
    </row>
    <row r="28" spans="1:26">
      <c r="J28" s="67" t="s">
        <v>25</v>
      </c>
      <c r="K28" s="67"/>
      <c r="L28" s="67"/>
      <c r="N28" s="22">
        <v>140</v>
      </c>
      <c r="X28" s="47" t="s">
        <v>51</v>
      </c>
      <c r="Y28" s="47" t="s">
        <v>58</v>
      </c>
      <c r="Z28" s="47">
        <v>8</v>
      </c>
    </row>
    <row r="29" spans="1:26">
      <c r="J29" s="47" t="s">
        <v>26</v>
      </c>
      <c r="N29" s="47">
        <v>0.05</v>
      </c>
      <c r="X29" s="47" t="s">
        <v>77</v>
      </c>
      <c r="Y29" s="47" t="s">
        <v>59</v>
      </c>
      <c r="Z29" s="47">
        <v>380</v>
      </c>
    </row>
    <row r="30" spans="1:26">
      <c r="J30" s="68" t="s">
        <v>28</v>
      </c>
      <c r="K30" s="68"/>
      <c r="N30" s="47">
        <f>M21</f>
        <v>13.200000000000001</v>
      </c>
      <c r="X30" s="47" t="s">
        <v>71</v>
      </c>
      <c r="Y30" s="47" t="s">
        <v>60</v>
      </c>
      <c r="Z30" s="47">
        <v>450</v>
      </c>
    </row>
    <row r="31" spans="1:26">
      <c r="J31" s="68" t="s">
        <v>29</v>
      </c>
      <c r="K31" s="68"/>
      <c r="N31" s="47">
        <f>10.643*((N27/N28)^1.852)*(N30/(N29^4.87))</f>
        <v>0.28613063758517088</v>
      </c>
      <c r="X31" s="47" t="s">
        <v>52</v>
      </c>
      <c r="Y31" s="47" t="s">
        <v>60</v>
      </c>
      <c r="Z31" s="47">
        <v>450</v>
      </c>
    </row>
    <row r="32" spans="1:26">
      <c r="X32" s="47" t="s">
        <v>53</v>
      </c>
      <c r="Y32" s="47" t="s">
        <v>59</v>
      </c>
      <c r="Z32" s="47">
        <v>10</v>
      </c>
    </row>
    <row r="33" spans="10:29">
      <c r="X33" s="47" t="s">
        <v>54</v>
      </c>
      <c r="Y33" s="47" t="s">
        <v>58</v>
      </c>
      <c r="Z33" s="47">
        <v>140</v>
      </c>
    </row>
    <row r="34" spans="10:29" ht="15.75">
      <c r="J34" s="66" t="s">
        <v>30</v>
      </c>
      <c r="K34" s="66"/>
      <c r="L34" s="66"/>
    </row>
    <row r="35" spans="10:29" ht="15.75">
      <c r="X35" s="48" t="s">
        <v>63</v>
      </c>
      <c r="Y35" s="43"/>
      <c r="Z35" s="43"/>
    </row>
    <row r="36" spans="10:29">
      <c r="Y36" s="47" t="s">
        <v>55</v>
      </c>
      <c r="Z36" s="47" t="s">
        <v>17</v>
      </c>
      <c r="AC36" s="47">
        <v>0.48</v>
      </c>
    </row>
    <row r="37" spans="10:29">
      <c r="X37" s="34" t="s">
        <v>64</v>
      </c>
      <c r="Y37" s="47" t="s">
        <v>14</v>
      </c>
      <c r="Z37" s="47">
        <f>Z11</f>
        <v>4247</v>
      </c>
      <c r="AA37" s="47">
        <f>SUM(Z37:Z39)</f>
        <v>6743</v>
      </c>
    </row>
    <row r="38" spans="10:29">
      <c r="X38" s="35" t="s">
        <v>79</v>
      </c>
      <c r="Y38" s="47" t="s">
        <v>14</v>
      </c>
      <c r="Z38" s="47">
        <f>Z12</f>
        <v>1375</v>
      </c>
      <c r="AB38" s="47">
        <f>0.75*AA37</f>
        <v>5057.25</v>
      </c>
    </row>
    <row r="39" spans="10:29">
      <c r="X39" s="35" t="s">
        <v>65</v>
      </c>
      <c r="Y39" s="47" t="s">
        <v>14</v>
      </c>
      <c r="Z39" s="47">
        <f>Z13</f>
        <v>1121</v>
      </c>
      <c r="AB39" s="47">
        <f>0.2*AA37</f>
        <v>1348.6000000000001</v>
      </c>
    </row>
    <row r="40" spans="10:29">
      <c r="X40" s="36" t="s">
        <v>74</v>
      </c>
      <c r="Y40" s="36" t="s">
        <v>58</v>
      </c>
      <c r="Z40" s="47">
        <f>AB38*AC36</f>
        <v>2427.48</v>
      </c>
      <c r="AB40" s="47">
        <f>0.05*AA37</f>
        <v>337.15000000000003</v>
      </c>
    </row>
    <row r="41" spans="10:29">
      <c r="X41" s="47" t="s">
        <v>70</v>
      </c>
      <c r="Y41" s="36" t="s">
        <v>58</v>
      </c>
      <c r="Z41" s="47">
        <f>AB39*AC36</f>
        <v>647.32800000000009</v>
      </c>
    </row>
    <row r="42" spans="10:29">
      <c r="K42" s="47" t="s">
        <v>31</v>
      </c>
      <c r="L42" s="47">
        <f>((10.643*((N27/N28)^1.852))/N8)^(1/4.87)</f>
        <v>3.3998607010408799E-2</v>
      </c>
      <c r="M42" s="47" t="s">
        <v>14</v>
      </c>
      <c r="X42" s="47" t="s">
        <v>75</v>
      </c>
      <c r="Y42" s="36" t="s">
        <v>58</v>
      </c>
      <c r="Z42" s="47">
        <f>AB40*AC36</f>
        <v>161.83200000000002</v>
      </c>
    </row>
    <row r="43" spans="10:29" ht="30">
      <c r="X43" s="31" t="s">
        <v>72</v>
      </c>
      <c r="Y43" s="47" t="s">
        <v>56</v>
      </c>
      <c r="Z43" s="47">
        <v>1</v>
      </c>
    </row>
    <row r="44" spans="10:29">
      <c r="X44" s="47" t="s">
        <v>66</v>
      </c>
      <c r="Y44" s="47" t="s">
        <v>69</v>
      </c>
      <c r="Z44" s="47">
        <v>300</v>
      </c>
    </row>
    <row r="45" spans="10:29" ht="15" customHeight="1">
      <c r="J45" s="61" t="s">
        <v>32</v>
      </c>
      <c r="K45" s="61"/>
      <c r="L45" s="61"/>
      <c r="M45" s="61"/>
      <c r="N45" s="61"/>
      <c r="X45" s="47" t="s">
        <v>67</v>
      </c>
      <c r="Y45" s="47" t="s">
        <v>69</v>
      </c>
      <c r="Z45" s="47">
        <v>90</v>
      </c>
    </row>
    <row r="46" spans="10:29" ht="15" customHeight="1">
      <c r="J46" s="61"/>
      <c r="K46" s="61"/>
      <c r="L46" s="61"/>
      <c r="M46" s="61"/>
      <c r="N46" s="61"/>
      <c r="X46" s="47" t="s">
        <v>68</v>
      </c>
      <c r="Y46" s="47" t="s">
        <v>69</v>
      </c>
      <c r="Z46" s="47">
        <v>400</v>
      </c>
    </row>
    <row r="47" spans="10:29" ht="15" customHeight="1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63" t="s">
        <v>37</v>
      </c>
      <c r="K58" s="63"/>
      <c r="L58" s="63"/>
      <c r="M58" s="63"/>
      <c r="N58" s="63"/>
    </row>
    <row r="59" spans="10:14" ht="15" customHeight="1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47" t="s">
        <v>40</v>
      </c>
      <c r="L62" s="47">
        <v>1.2</v>
      </c>
    </row>
    <row r="63" spans="10:14">
      <c r="K63" s="47" t="s">
        <v>31</v>
      </c>
      <c r="L63" s="47">
        <f>L61^(1/4)*L62*(N27^0.5)</f>
        <v>4.3638369261597539E-2</v>
      </c>
    </row>
  </sheetData>
  <mergeCells count="24"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6145" r:id="rId3"/>
    <oleObject progId="Equation.3" shapeId="6150" r:id="rId4"/>
    <oleObject progId="Equation.3" shapeId="6151" r:id="rId5"/>
    <oleObject progId="Equation.3" shapeId="6152" r:id="rId6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AC63"/>
  <sheetViews>
    <sheetView workbookViewId="0">
      <selection activeCell="D16" sqref="A1:XFD1048576"/>
    </sheetView>
  </sheetViews>
  <sheetFormatPr defaultRowHeight="15"/>
  <cols>
    <col min="1" max="1" width="9.140625" style="52" customWidth="1"/>
    <col min="2" max="9" width="9.140625" style="52"/>
    <col min="10" max="10" width="18.85546875" style="52" bestFit="1" customWidth="1"/>
    <col min="11" max="11" width="11.5703125" style="52" customWidth="1"/>
    <col min="12" max="12" width="9.140625" style="52"/>
    <col min="13" max="13" width="9.140625" style="52" customWidth="1"/>
    <col min="14" max="14" width="9.5703125" style="52" bestFit="1" customWidth="1"/>
    <col min="15" max="23" width="9.140625" style="52"/>
    <col min="24" max="24" width="75.28515625" style="52" bestFit="1" customWidth="1"/>
    <col min="25" max="25" width="9.140625" style="52"/>
    <col min="26" max="26" width="11.42578125" style="52" customWidth="1"/>
    <col min="27" max="28" width="9" style="52" customWidth="1"/>
    <col min="29" max="29" width="9.140625" style="52" customWidth="1"/>
    <col min="30" max="16384" width="9.140625" style="52"/>
  </cols>
  <sheetData>
    <row r="1" spans="1:26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66" t="s">
        <v>61</v>
      </c>
      <c r="Y1" s="66"/>
      <c r="Z1" s="66"/>
    </row>
    <row r="2" spans="1:26">
      <c r="A2" s="73" t="s">
        <v>97</v>
      </c>
      <c r="B2" s="74"/>
    </row>
    <row r="3" spans="1:26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53" t="s">
        <v>62</v>
      </c>
    </row>
    <row r="4" spans="1:26">
      <c r="A4" s="1">
        <v>0</v>
      </c>
      <c r="B4" s="41">
        <v>190</v>
      </c>
    </row>
    <row r="5" spans="1:26">
      <c r="A5" s="1">
        <v>1</v>
      </c>
      <c r="B5" s="3">
        <f>B4*1.05</f>
        <v>199.5</v>
      </c>
      <c r="X5" s="52" t="s">
        <v>49</v>
      </c>
      <c r="Y5" s="52" t="s">
        <v>55</v>
      </c>
      <c r="Z5" s="52" t="s">
        <v>17</v>
      </c>
    </row>
    <row r="6" spans="1:26">
      <c r="A6" s="1">
        <v>2</v>
      </c>
      <c r="B6" s="3">
        <f t="shared" ref="B6:B24" si="0">B5*1.05</f>
        <v>209.47500000000002</v>
      </c>
      <c r="E6" s="52" t="s">
        <v>4</v>
      </c>
      <c r="F6" s="52" t="s">
        <v>5</v>
      </c>
      <c r="G6" s="52" t="s">
        <v>6</v>
      </c>
      <c r="H6" s="52" t="s">
        <v>7</v>
      </c>
    </row>
    <row r="7" spans="1:26">
      <c r="A7" s="1">
        <v>3</v>
      </c>
      <c r="B7" s="3">
        <f t="shared" si="0"/>
        <v>219.94875000000005</v>
      </c>
      <c r="E7" s="52">
        <v>1.2</v>
      </c>
      <c r="F7" s="52">
        <v>200</v>
      </c>
      <c r="G7" s="23">
        <f>B24</f>
        <v>504.1265639774403</v>
      </c>
      <c r="H7" s="22">
        <f>(E7*F7*G7)/86400</f>
        <v>1.400351566604001</v>
      </c>
      <c r="R7" s="68" t="s">
        <v>42</v>
      </c>
      <c r="S7" s="68"/>
      <c r="T7" s="68"/>
      <c r="X7" s="52" t="s">
        <v>20</v>
      </c>
      <c r="Y7" s="52" t="s">
        <v>56</v>
      </c>
      <c r="Z7" s="52">
        <v>3</v>
      </c>
    </row>
    <row r="8" spans="1:26">
      <c r="A8" s="1">
        <v>4</v>
      </c>
      <c r="B8" s="3">
        <f t="shared" si="0"/>
        <v>230.94618750000006</v>
      </c>
      <c r="H8" s="52">
        <f>H7*1.75</f>
        <v>2.4506152415570015</v>
      </c>
      <c r="J8" s="68" t="s">
        <v>10</v>
      </c>
      <c r="K8" s="68"/>
      <c r="L8" s="68"/>
      <c r="N8" s="6">
        <f>N9/N10</f>
        <v>1.3636363636363636E-2</v>
      </c>
      <c r="O8" s="52" t="s">
        <v>13</v>
      </c>
      <c r="R8" s="68" t="s">
        <v>43</v>
      </c>
      <c r="S8" s="68"/>
      <c r="T8" s="68"/>
      <c r="U8" s="68"/>
      <c r="V8" s="52">
        <f xml:space="preserve"> 1000</f>
        <v>1000</v>
      </c>
      <c r="X8" s="52" t="s">
        <v>21</v>
      </c>
      <c r="Y8" s="52" t="s">
        <v>56</v>
      </c>
      <c r="Z8" s="52">
        <v>1</v>
      </c>
    </row>
    <row r="9" spans="1:26">
      <c r="A9" s="1">
        <v>5</v>
      </c>
      <c r="B9" s="3">
        <f t="shared" si="0"/>
        <v>242.49349687500009</v>
      </c>
      <c r="J9" s="68" t="s">
        <v>11</v>
      </c>
      <c r="K9" s="68"/>
      <c r="L9" s="68"/>
      <c r="M9" s="68"/>
      <c r="N9" s="21">
        <v>15</v>
      </c>
      <c r="O9" s="52" t="s">
        <v>14</v>
      </c>
      <c r="R9" s="68" t="s">
        <v>44</v>
      </c>
      <c r="S9" s="68"/>
      <c r="X9" s="52" t="s">
        <v>91</v>
      </c>
      <c r="Y9" s="52" t="s">
        <v>56</v>
      </c>
      <c r="Z9" s="52">
        <v>5</v>
      </c>
    </row>
    <row r="10" spans="1:26">
      <c r="A10" s="1">
        <v>6</v>
      </c>
      <c r="B10" s="3">
        <f t="shared" si="0"/>
        <v>254.61817171875012</v>
      </c>
      <c r="J10" s="68" t="s">
        <v>12</v>
      </c>
      <c r="K10" s="68"/>
      <c r="L10" s="68"/>
      <c r="N10" s="21">
        <v>1100</v>
      </c>
      <c r="O10" s="52" t="s">
        <v>14</v>
      </c>
      <c r="R10" s="68" t="s">
        <v>45</v>
      </c>
      <c r="S10" s="68"/>
      <c r="T10" s="68"/>
      <c r="X10" s="52" t="s">
        <v>90</v>
      </c>
      <c r="Y10" s="52" t="s">
        <v>56</v>
      </c>
      <c r="Z10" s="52">
        <v>7</v>
      </c>
    </row>
    <row r="11" spans="1:26">
      <c r="A11" s="1">
        <v>7</v>
      </c>
      <c r="B11" s="3">
        <f t="shared" si="0"/>
        <v>267.34908030468762</v>
      </c>
      <c r="R11" s="65" t="s">
        <v>48</v>
      </c>
      <c r="S11" s="65"/>
      <c r="T11" s="65"/>
      <c r="V11" s="16">
        <v>0.7</v>
      </c>
      <c r="X11" s="52" t="s">
        <v>80</v>
      </c>
      <c r="Y11" s="52" t="s">
        <v>14</v>
      </c>
      <c r="Z11" s="52">
        <v>5977</v>
      </c>
    </row>
    <row r="12" spans="1:26">
      <c r="A12" s="1">
        <v>8</v>
      </c>
      <c r="B12" s="3">
        <f t="shared" si="0"/>
        <v>280.716534319922</v>
      </c>
      <c r="D12" s="52">
        <f>38*5</f>
        <v>190</v>
      </c>
      <c r="R12" s="52" t="s">
        <v>46</v>
      </c>
      <c r="S12" s="52">
        <f>V8*N27*(N9+M21)/(75*0.7)</f>
        <v>1.3163304726077609</v>
      </c>
      <c r="T12" s="52" t="s">
        <v>47</v>
      </c>
      <c r="X12" s="24" t="s">
        <v>87</v>
      </c>
      <c r="Y12" s="52" t="s">
        <v>14</v>
      </c>
      <c r="Z12" s="52">
        <v>706</v>
      </c>
    </row>
    <row r="13" spans="1:26" ht="15.75">
      <c r="A13" s="1">
        <v>9</v>
      </c>
      <c r="B13" s="3">
        <f t="shared" si="0"/>
        <v>294.75236103591811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52" t="s">
        <v>14</v>
      </c>
      <c r="Z13" s="27">
        <v>1098</v>
      </c>
    </row>
    <row r="14" spans="1:26">
      <c r="A14" s="1">
        <v>10</v>
      </c>
      <c r="B14" s="3">
        <f t="shared" si="0"/>
        <v>309.489979087714</v>
      </c>
      <c r="X14" s="25" t="s">
        <v>89</v>
      </c>
      <c r="Y14" s="52" t="s">
        <v>56</v>
      </c>
      <c r="Z14" s="27">
        <v>1</v>
      </c>
    </row>
    <row r="15" spans="1:26" ht="13.5" customHeight="1">
      <c r="A15" s="1">
        <v>11</v>
      </c>
      <c r="B15" s="3">
        <f t="shared" si="0"/>
        <v>324.9644780420997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52" t="s">
        <v>56</v>
      </c>
      <c r="Z15" s="27">
        <v>39</v>
      </c>
    </row>
    <row r="16" spans="1:26">
      <c r="A16" s="1">
        <v>12</v>
      </c>
      <c r="B16" s="3">
        <f t="shared" si="0"/>
        <v>341.2127019442047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52" t="s">
        <v>56</v>
      </c>
      <c r="Z16" s="27">
        <v>38</v>
      </c>
    </row>
    <row r="17" spans="1:26">
      <c r="A17" s="1">
        <v>13</v>
      </c>
      <c r="B17" s="3">
        <f t="shared" si="0"/>
        <v>358.27333704141495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52" t="s">
        <v>56</v>
      </c>
      <c r="Z17" s="27">
        <v>35</v>
      </c>
    </row>
    <row r="18" spans="1:26">
      <c r="A18" s="1">
        <v>14</v>
      </c>
      <c r="B18" s="3">
        <f t="shared" si="0"/>
        <v>376.18700389348572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52" t="s">
        <v>56</v>
      </c>
      <c r="Z18" s="27">
        <v>3</v>
      </c>
    </row>
    <row r="19" spans="1:26">
      <c r="A19" s="1">
        <v>15</v>
      </c>
      <c r="B19" s="3">
        <f t="shared" si="0"/>
        <v>394.99635408816005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52" t="s">
        <v>56</v>
      </c>
      <c r="Z19" s="27">
        <v>3</v>
      </c>
    </row>
    <row r="20" spans="1:26">
      <c r="A20" s="1">
        <v>16</v>
      </c>
      <c r="B20" s="3">
        <f t="shared" si="0"/>
        <v>414.74617179256808</v>
      </c>
      <c r="J20" s="18"/>
      <c r="K20" s="20"/>
      <c r="L20" s="19"/>
      <c r="M20" s="19"/>
      <c r="X20" s="28" t="s">
        <v>73</v>
      </c>
      <c r="Y20" s="52" t="s">
        <v>56</v>
      </c>
      <c r="Z20" s="50">
        <v>1</v>
      </c>
    </row>
    <row r="21" spans="1:26">
      <c r="A21" s="1">
        <v>17</v>
      </c>
      <c r="B21" s="3">
        <f t="shared" si="0"/>
        <v>435.48348038219649</v>
      </c>
      <c r="L21" s="9" t="s">
        <v>24</v>
      </c>
      <c r="M21" s="52">
        <f>SUM(M16:M20)</f>
        <v>13.200000000000001</v>
      </c>
      <c r="X21" s="52" t="s">
        <v>76</v>
      </c>
      <c r="Y21" s="52" t="s">
        <v>56</v>
      </c>
      <c r="Z21" s="29">
        <v>2</v>
      </c>
    </row>
    <row r="22" spans="1:26">
      <c r="A22" s="1">
        <v>18</v>
      </c>
      <c r="B22" s="3">
        <f t="shared" si="0"/>
        <v>457.25765440130635</v>
      </c>
      <c r="X22" s="52" t="s">
        <v>83</v>
      </c>
      <c r="Y22" s="52" t="s">
        <v>56</v>
      </c>
      <c r="Z22" s="29">
        <v>3</v>
      </c>
    </row>
    <row r="23" spans="1:26">
      <c r="A23" s="1">
        <v>19</v>
      </c>
      <c r="B23" s="3">
        <f t="shared" si="0"/>
        <v>480.12053712137168</v>
      </c>
    </row>
    <row r="24" spans="1:26" ht="15.75">
      <c r="A24" s="4">
        <v>20</v>
      </c>
      <c r="B24" s="17">
        <f t="shared" si="0"/>
        <v>504.1265639774403</v>
      </c>
      <c r="X24" s="53" t="s">
        <v>78</v>
      </c>
      <c r="Y24" s="53"/>
      <c r="Z24" s="53"/>
    </row>
    <row r="25" spans="1:26">
      <c r="X25" s="52" t="s">
        <v>49</v>
      </c>
      <c r="Y25" s="52" t="s">
        <v>55</v>
      </c>
      <c r="Z25" s="52" t="s">
        <v>17</v>
      </c>
    </row>
    <row r="27" spans="1:26">
      <c r="J27" s="52" t="s">
        <v>27</v>
      </c>
      <c r="N27" s="22">
        <f>H8/1000</f>
        <v>2.4506152415570016E-3</v>
      </c>
      <c r="X27" s="52" t="s">
        <v>50</v>
      </c>
      <c r="Y27" s="52" t="s">
        <v>57</v>
      </c>
      <c r="Z27" s="52">
        <v>90</v>
      </c>
    </row>
    <row r="28" spans="1:26">
      <c r="J28" s="67" t="s">
        <v>25</v>
      </c>
      <c r="K28" s="67"/>
      <c r="L28" s="67"/>
      <c r="N28" s="22">
        <v>140</v>
      </c>
      <c r="X28" s="52" t="s">
        <v>51</v>
      </c>
      <c r="Y28" s="52" t="s">
        <v>58</v>
      </c>
      <c r="Z28" s="52">
        <v>8</v>
      </c>
    </row>
    <row r="29" spans="1:26">
      <c r="J29" s="52" t="s">
        <v>26</v>
      </c>
      <c r="N29" s="52">
        <v>0.05</v>
      </c>
      <c r="X29" s="52" t="s">
        <v>77</v>
      </c>
      <c r="Y29" s="52" t="s">
        <v>59</v>
      </c>
      <c r="Z29" s="52">
        <v>380</v>
      </c>
    </row>
    <row r="30" spans="1:26">
      <c r="J30" s="68" t="s">
        <v>28</v>
      </c>
      <c r="K30" s="68"/>
      <c r="N30" s="52">
        <f>M21</f>
        <v>13.200000000000001</v>
      </c>
      <c r="X30" s="52" t="s">
        <v>71</v>
      </c>
      <c r="Y30" s="52" t="s">
        <v>60</v>
      </c>
      <c r="Z30" s="52">
        <v>450</v>
      </c>
    </row>
    <row r="31" spans="1:26">
      <c r="J31" s="68" t="s">
        <v>29</v>
      </c>
      <c r="K31" s="68"/>
      <c r="N31" s="52">
        <f>10.643*((N27/N28)^1.852)*(N30/(N29^4.87))</f>
        <v>0.47202227250443385</v>
      </c>
      <c r="X31" s="52" t="s">
        <v>52</v>
      </c>
      <c r="Y31" s="52" t="s">
        <v>60</v>
      </c>
      <c r="Z31" s="52">
        <v>450</v>
      </c>
    </row>
    <row r="32" spans="1:26">
      <c r="X32" s="52" t="s">
        <v>53</v>
      </c>
      <c r="Y32" s="52" t="s">
        <v>59</v>
      </c>
      <c r="Z32" s="52">
        <v>10</v>
      </c>
    </row>
    <row r="33" spans="10:29">
      <c r="X33" s="52" t="s">
        <v>54</v>
      </c>
      <c r="Y33" s="52" t="s">
        <v>58</v>
      </c>
      <c r="Z33" s="52">
        <v>140</v>
      </c>
    </row>
    <row r="34" spans="10:29" ht="15.75">
      <c r="J34" s="66" t="s">
        <v>30</v>
      </c>
      <c r="K34" s="66"/>
      <c r="L34" s="66"/>
    </row>
    <row r="35" spans="10:29" ht="15.75">
      <c r="X35" s="51" t="s">
        <v>63</v>
      </c>
      <c r="Y35" s="43"/>
      <c r="Z35" s="43"/>
    </row>
    <row r="36" spans="10:29">
      <c r="Y36" s="52" t="s">
        <v>55</v>
      </c>
      <c r="Z36" s="52" t="s">
        <v>17</v>
      </c>
      <c r="AC36" s="52">
        <v>0.48</v>
      </c>
    </row>
    <row r="37" spans="10:29">
      <c r="X37" s="34" t="s">
        <v>64</v>
      </c>
      <c r="Y37" s="52" t="s">
        <v>14</v>
      </c>
      <c r="Z37" s="52">
        <f>Z11</f>
        <v>5977</v>
      </c>
      <c r="AA37" s="52">
        <f>SUM(Z37:Z39)</f>
        <v>7781</v>
      </c>
    </row>
    <row r="38" spans="10:29">
      <c r="X38" s="35" t="s">
        <v>79</v>
      </c>
      <c r="Y38" s="52" t="s">
        <v>14</v>
      </c>
      <c r="Z38" s="52">
        <f>Z12</f>
        <v>706</v>
      </c>
      <c r="AB38" s="52">
        <f>0.75*AA37</f>
        <v>5835.75</v>
      </c>
    </row>
    <row r="39" spans="10:29">
      <c r="X39" s="35" t="s">
        <v>65</v>
      </c>
      <c r="Y39" s="52" t="s">
        <v>14</v>
      </c>
      <c r="Z39" s="52">
        <f>Z13</f>
        <v>1098</v>
      </c>
      <c r="AB39" s="52">
        <f>0.2*AA37</f>
        <v>1556.2</v>
      </c>
    </row>
    <row r="40" spans="10:29">
      <c r="X40" s="36" t="s">
        <v>74</v>
      </c>
      <c r="Y40" s="36" t="s">
        <v>58</v>
      </c>
      <c r="Z40" s="52">
        <f>AB38*AC36</f>
        <v>2801.16</v>
      </c>
      <c r="AB40" s="52">
        <f>0.05*AA37</f>
        <v>389.05</v>
      </c>
    </row>
    <row r="41" spans="10:29">
      <c r="X41" s="52" t="s">
        <v>70</v>
      </c>
      <c r="Y41" s="36" t="s">
        <v>58</v>
      </c>
      <c r="Z41" s="52">
        <f>AB39*AC36</f>
        <v>746.976</v>
      </c>
    </row>
    <row r="42" spans="10:29">
      <c r="K42" s="52" t="s">
        <v>31</v>
      </c>
      <c r="L42" s="52">
        <f>((10.643*((N27/N28)^1.852))/N8)^(1/4.87)</f>
        <v>6.0945733388529579E-2</v>
      </c>
      <c r="M42" s="52" t="s">
        <v>14</v>
      </c>
      <c r="X42" s="52" t="s">
        <v>75</v>
      </c>
      <c r="Y42" s="36" t="s">
        <v>58</v>
      </c>
      <c r="Z42" s="52">
        <f>AB40*AC36</f>
        <v>186.744</v>
      </c>
    </row>
    <row r="43" spans="10:29" ht="30">
      <c r="X43" s="31" t="s">
        <v>72</v>
      </c>
      <c r="Y43" s="52" t="s">
        <v>56</v>
      </c>
      <c r="Z43" s="52">
        <v>1</v>
      </c>
    </row>
    <row r="44" spans="10:29">
      <c r="X44" s="52" t="s">
        <v>66</v>
      </c>
      <c r="Y44" s="52" t="s">
        <v>69</v>
      </c>
      <c r="Z44" s="52">
        <v>300</v>
      </c>
    </row>
    <row r="45" spans="10:29" ht="15" customHeight="1">
      <c r="J45" s="61" t="s">
        <v>32</v>
      </c>
      <c r="K45" s="61"/>
      <c r="L45" s="61"/>
      <c r="M45" s="61"/>
      <c r="N45" s="61"/>
      <c r="X45" s="52" t="s">
        <v>67</v>
      </c>
      <c r="Y45" s="52" t="s">
        <v>69</v>
      </c>
      <c r="Z45" s="52">
        <v>90</v>
      </c>
    </row>
    <row r="46" spans="10:29" ht="15" customHeight="1">
      <c r="J46" s="61"/>
      <c r="K46" s="61"/>
      <c r="L46" s="61"/>
      <c r="M46" s="61"/>
      <c r="N46" s="61"/>
      <c r="X46" s="52" t="s">
        <v>68</v>
      </c>
      <c r="Y46" s="52" t="s">
        <v>69</v>
      </c>
      <c r="Z46" s="52">
        <v>400</v>
      </c>
    </row>
    <row r="47" spans="10:29" ht="15" customHeight="1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63" t="s">
        <v>37</v>
      </c>
      <c r="K58" s="63"/>
      <c r="L58" s="63"/>
      <c r="M58" s="63"/>
      <c r="N58" s="63"/>
    </row>
    <row r="59" spans="10:14" ht="15" customHeight="1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52" t="s">
        <v>40</v>
      </c>
      <c r="L62" s="52">
        <v>1.2</v>
      </c>
    </row>
    <row r="63" spans="10:14">
      <c r="K63" s="52" t="s">
        <v>31</v>
      </c>
      <c r="L63" s="52">
        <f>L61^(1/4)*L62*(N27^0.5)</f>
        <v>4.9952969719057272E-2</v>
      </c>
    </row>
  </sheetData>
  <mergeCells count="24">
    <mergeCell ref="R8:U8"/>
    <mergeCell ref="J9:M9"/>
    <mergeCell ref="R9:S9"/>
    <mergeCell ref="A1:C1"/>
    <mergeCell ref="E1:H1"/>
    <mergeCell ref="J1:O1"/>
    <mergeCell ref="R1:U1"/>
    <mergeCell ref="A2:B2"/>
    <mergeCell ref="X1:Z1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J3:N3"/>
    <mergeCell ref="R7:T7"/>
    <mergeCell ref="J8:L8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7169" r:id="rId3"/>
    <oleObject progId="Equation.3" shapeId="7174" r:id="rId4"/>
    <oleObject progId="Equation.3" shapeId="7175" r:id="rId5"/>
    <oleObject progId="Equation.3" shapeId="7176" r:id="rId6"/>
    <oleObject progId="Equation.3" shapeId="7177" r:id="rId7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AC63"/>
  <sheetViews>
    <sheetView topLeftCell="N31" workbookViewId="0">
      <selection activeCell="Z17" sqref="Z17"/>
    </sheetView>
  </sheetViews>
  <sheetFormatPr defaultRowHeight="1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7" width="0.140625" style="30" customWidth="1"/>
    <col min="28" max="28" width="8.85546875" style="30" hidden="1" customWidth="1"/>
    <col min="29" max="29" width="9.140625" style="30" hidden="1" customWidth="1"/>
    <col min="30" max="16384" width="9.140625" style="30"/>
  </cols>
  <sheetData>
    <row r="1" spans="1:29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39" t="s">
        <v>61</v>
      </c>
      <c r="Y1" s="39"/>
      <c r="Z1" s="39"/>
      <c r="AA1" s="38"/>
      <c r="AB1" s="38"/>
      <c r="AC1" s="38"/>
    </row>
    <row r="2" spans="1:29">
      <c r="A2" s="73" t="s">
        <v>98</v>
      </c>
      <c r="B2" s="74"/>
      <c r="X2" s="38"/>
      <c r="Y2" s="38"/>
      <c r="Z2" s="38"/>
      <c r="AA2" s="38"/>
      <c r="AB2" s="38"/>
      <c r="AC2" s="38"/>
    </row>
    <row r="3" spans="1:29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40" t="s">
        <v>62</v>
      </c>
      <c r="Y3" s="38"/>
      <c r="Z3" s="38"/>
      <c r="AA3" s="38"/>
      <c r="AB3" s="38"/>
      <c r="AC3" s="38"/>
    </row>
    <row r="4" spans="1:29">
      <c r="A4" s="1">
        <v>0</v>
      </c>
      <c r="B4" s="41">
        <v>80</v>
      </c>
      <c r="X4" s="38"/>
      <c r="Y4" s="38"/>
      <c r="Z4" s="38"/>
      <c r="AA4" s="38"/>
      <c r="AB4" s="38"/>
      <c r="AC4" s="38"/>
    </row>
    <row r="5" spans="1:29">
      <c r="A5" s="1">
        <v>1</v>
      </c>
      <c r="B5" s="3">
        <f>B4*1.05</f>
        <v>84</v>
      </c>
      <c r="X5" s="38" t="s">
        <v>49</v>
      </c>
      <c r="Y5" s="38" t="s">
        <v>55</v>
      </c>
      <c r="Z5" s="38" t="s">
        <v>17</v>
      </c>
      <c r="AA5" s="38"/>
      <c r="AB5" s="38"/>
      <c r="AC5" s="38"/>
    </row>
    <row r="6" spans="1:29">
      <c r="A6" s="1">
        <v>2</v>
      </c>
      <c r="B6" s="3">
        <f t="shared" ref="B6:B24" si="0">B5*1.05</f>
        <v>88.2</v>
      </c>
      <c r="E6" s="30" t="s">
        <v>4</v>
      </c>
      <c r="F6" s="30" t="s">
        <v>5</v>
      </c>
      <c r="G6" s="30" t="s">
        <v>6</v>
      </c>
      <c r="H6" s="30" t="s">
        <v>7</v>
      </c>
      <c r="X6" s="38"/>
      <c r="Y6" s="38"/>
      <c r="Z6" s="38"/>
      <c r="AA6" s="38"/>
      <c r="AB6" s="38"/>
      <c r="AC6" s="38"/>
    </row>
    <row r="7" spans="1:29">
      <c r="A7" s="1">
        <v>3</v>
      </c>
      <c r="B7" s="3">
        <f t="shared" si="0"/>
        <v>92.610000000000014</v>
      </c>
      <c r="E7" s="30">
        <v>1.2</v>
      </c>
      <c r="F7" s="30">
        <v>200</v>
      </c>
      <c r="G7" s="23">
        <f>B24</f>
        <v>212.26381641155382</v>
      </c>
      <c r="H7" s="22">
        <f>(E7*F7*G7)/86400</f>
        <v>0.58962171225431614</v>
      </c>
      <c r="R7" s="68" t="s">
        <v>42</v>
      </c>
      <c r="S7" s="68"/>
      <c r="T7" s="68"/>
      <c r="X7" s="38" t="s">
        <v>20</v>
      </c>
      <c r="Y7" s="38" t="s">
        <v>56</v>
      </c>
      <c r="Z7" s="38">
        <v>3</v>
      </c>
      <c r="AA7" s="38"/>
      <c r="AB7" s="38"/>
      <c r="AC7" s="38"/>
    </row>
    <row r="8" spans="1:29">
      <c r="A8" s="1">
        <v>4</v>
      </c>
      <c r="B8" s="3">
        <f t="shared" si="0"/>
        <v>97.240500000000011</v>
      </c>
      <c r="H8" s="30">
        <f>H7*1.75</f>
        <v>1.0318379964450533</v>
      </c>
      <c r="J8" s="68" t="s">
        <v>10</v>
      </c>
      <c r="K8" s="68"/>
      <c r="L8" s="68"/>
      <c r="N8" s="6">
        <f>N9/N10</f>
        <v>3.4985422740524783E-2</v>
      </c>
      <c r="O8" s="30" t="s">
        <v>13</v>
      </c>
      <c r="R8" s="68" t="s">
        <v>43</v>
      </c>
      <c r="S8" s="68"/>
      <c r="T8" s="68"/>
      <c r="U8" s="68"/>
      <c r="V8" s="30">
        <f xml:space="preserve"> 1000</f>
        <v>1000</v>
      </c>
      <c r="X8" s="38" t="s">
        <v>21</v>
      </c>
      <c r="Y8" s="38" t="s">
        <v>56</v>
      </c>
      <c r="Z8" s="38">
        <v>1</v>
      </c>
      <c r="AA8" s="38"/>
      <c r="AB8" s="38"/>
      <c r="AC8" s="38"/>
    </row>
    <row r="9" spans="1:29">
      <c r="A9" s="1">
        <v>5</v>
      </c>
      <c r="B9" s="3">
        <f t="shared" si="0"/>
        <v>102.10252500000001</v>
      </c>
      <c r="J9" s="68" t="s">
        <v>11</v>
      </c>
      <c r="K9" s="68"/>
      <c r="L9" s="68"/>
      <c r="M9" s="68"/>
      <c r="N9" s="21">
        <v>12</v>
      </c>
      <c r="O9" s="30" t="s">
        <v>14</v>
      </c>
      <c r="R9" s="68" t="s">
        <v>44</v>
      </c>
      <c r="S9" s="68"/>
      <c r="X9" s="42" t="s">
        <v>91</v>
      </c>
      <c r="Y9" s="38" t="s">
        <v>56</v>
      </c>
      <c r="Z9" s="38">
        <v>5</v>
      </c>
      <c r="AA9" s="38"/>
      <c r="AB9" s="38"/>
      <c r="AC9" s="38"/>
    </row>
    <row r="10" spans="1:29">
      <c r="A10" s="1">
        <v>6</v>
      </c>
      <c r="B10" s="3">
        <f t="shared" si="0"/>
        <v>107.20765125000003</v>
      </c>
      <c r="J10" s="68" t="s">
        <v>12</v>
      </c>
      <c r="K10" s="68"/>
      <c r="L10" s="68"/>
      <c r="N10" s="21">
        <v>343</v>
      </c>
      <c r="O10" s="30" t="s">
        <v>14</v>
      </c>
      <c r="R10" s="68" t="s">
        <v>45</v>
      </c>
      <c r="S10" s="68"/>
      <c r="T10" s="68"/>
      <c r="X10" s="42" t="s">
        <v>90</v>
      </c>
      <c r="Y10" s="38" t="s">
        <v>56</v>
      </c>
      <c r="Z10" s="38">
        <v>12</v>
      </c>
      <c r="AA10" s="38"/>
      <c r="AB10" s="38"/>
      <c r="AC10" s="38"/>
    </row>
    <row r="11" spans="1:29">
      <c r="A11" s="1">
        <v>7</v>
      </c>
      <c r="B11" s="3">
        <f t="shared" si="0"/>
        <v>112.56803381250003</v>
      </c>
      <c r="R11" s="65" t="s">
        <v>48</v>
      </c>
      <c r="S11" s="65"/>
      <c r="T11" s="65"/>
      <c r="V11" s="16">
        <v>0.7</v>
      </c>
      <c r="X11" s="42" t="s">
        <v>80</v>
      </c>
      <c r="Y11" s="38" t="s">
        <v>14</v>
      </c>
      <c r="Z11" s="38">
        <v>5246</v>
      </c>
      <c r="AA11" s="38"/>
      <c r="AB11" s="38"/>
      <c r="AC11" s="38"/>
    </row>
    <row r="12" spans="1:29">
      <c r="A12" s="1">
        <v>8</v>
      </c>
      <c r="B12" s="3">
        <f t="shared" si="0"/>
        <v>118.19643550312504</v>
      </c>
      <c r="D12" s="30">
        <f>16*5</f>
        <v>80</v>
      </c>
      <c r="R12" s="30" t="s">
        <v>46</v>
      </c>
      <c r="S12" s="30">
        <f>V8*N27*(N9+M21)/(75*0.7)</f>
        <v>0.49528223829362561</v>
      </c>
      <c r="T12" s="30" t="s">
        <v>47</v>
      </c>
      <c r="X12" s="24" t="s">
        <v>87</v>
      </c>
      <c r="Y12" s="38" t="s">
        <v>14</v>
      </c>
      <c r="Z12" s="38">
        <v>1467</v>
      </c>
      <c r="AA12" s="38"/>
      <c r="AB12" s="38"/>
      <c r="AC12" s="38"/>
    </row>
    <row r="13" spans="1:29" ht="15.75">
      <c r="A13" s="1">
        <v>9</v>
      </c>
      <c r="B13" s="3">
        <f t="shared" si="0"/>
        <v>124.1062572782813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38" t="s">
        <v>14</v>
      </c>
      <c r="Z13" s="38">
        <v>528</v>
      </c>
      <c r="AA13" s="38"/>
      <c r="AB13" s="38"/>
      <c r="AC13" s="38"/>
    </row>
    <row r="14" spans="1:29">
      <c r="A14" s="1">
        <v>10</v>
      </c>
      <c r="B14" s="3">
        <f t="shared" si="0"/>
        <v>130.31157014219536</v>
      </c>
      <c r="X14" s="25" t="s">
        <v>89</v>
      </c>
      <c r="Y14" s="38" t="s">
        <v>56</v>
      </c>
      <c r="Z14" s="27">
        <v>1</v>
      </c>
      <c r="AA14" s="38"/>
      <c r="AB14" s="38"/>
      <c r="AC14" s="38"/>
    </row>
    <row r="15" spans="1:29" ht="14.25" customHeight="1">
      <c r="A15" s="1">
        <v>11</v>
      </c>
      <c r="B15" s="3">
        <f t="shared" si="0"/>
        <v>136.82714864930514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38" t="s">
        <v>56</v>
      </c>
      <c r="Z15" s="27">
        <v>21</v>
      </c>
      <c r="AA15" s="38"/>
      <c r="AB15" s="38"/>
      <c r="AC15" s="38"/>
    </row>
    <row r="16" spans="1:29">
      <c r="A16" s="1">
        <v>12</v>
      </c>
      <c r="B16" s="3">
        <f t="shared" si="0"/>
        <v>143.6685060817704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38" t="s">
        <v>56</v>
      </c>
      <c r="Z16" s="38">
        <v>16</v>
      </c>
      <c r="AA16" s="38"/>
      <c r="AB16" s="38"/>
      <c r="AC16" s="38"/>
    </row>
    <row r="17" spans="1:29">
      <c r="A17" s="1">
        <v>13</v>
      </c>
      <c r="B17" s="3">
        <f t="shared" si="0"/>
        <v>150.85193138585893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38" t="s">
        <v>56</v>
      </c>
      <c r="Z17" s="27">
        <v>11</v>
      </c>
      <c r="AA17" s="38"/>
      <c r="AB17" s="38"/>
      <c r="AC17" s="38"/>
    </row>
    <row r="18" spans="1:29">
      <c r="A18" s="1">
        <v>14</v>
      </c>
      <c r="B18" s="3">
        <f t="shared" si="0"/>
        <v>158.39452795515189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54" t="s">
        <v>56</v>
      </c>
      <c r="Z18" s="27">
        <v>5</v>
      </c>
      <c r="AA18" s="38"/>
      <c r="AB18" s="38"/>
      <c r="AC18" s="38"/>
    </row>
    <row r="19" spans="1:29">
      <c r="A19" s="1">
        <v>15</v>
      </c>
      <c r="B19" s="3">
        <f t="shared" si="0"/>
        <v>166.3142543529095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38" t="s">
        <v>56</v>
      </c>
      <c r="Z19" s="27">
        <v>5</v>
      </c>
      <c r="AA19" s="38"/>
      <c r="AB19" s="38"/>
      <c r="AC19" s="38"/>
    </row>
    <row r="20" spans="1:29">
      <c r="A20" s="1">
        <v>16</v>
      </c>
      <c r="B20" s="3">
        <f t="shared" si="0"/>
        <v>174.62996707055498</v>
      </c>
      <c r="J20" s="18"/>
      <c r="K20" s="20"/>
      <c r="L20" s="19"/>
      <c r="M20" s="19"/>
      <c r="X20" s="28" t="s">
        <v>73</v>
      </c>
      <c r="Y20" s="38" t="s">
        <v>56</v>
      </c>
      <c r="Z20" s="29">
        <v>1</v>
      </c>
      <c r="AA20" s="38"/>
      <c r="AB20" s="38"/>
      <c r="AC20" s="38"/>
    </row>
    <row r="21" spans="1:29">
      <c r="A21" s="1">
        <v>17</v>
      </c>
      <c r="B21" s="3">
        <f t="shared" si="0"/>
        <v>183.36146542408275</v>
      </c>
      <c r="L21" s="9" t="s">
        <v>24</v>
      </c>
      <c r="M21" s="30">
        <f>SUM(M16:M20)</f>
        <v>13.200000000000001</v>
      </c>
      <c r="X21" s="42" t="s">
        <v>76</v>
      </c>
      <c r="Y21" s="38" t="s">
        <v>56</v>
      </c>
      <c r="Z21" s="29">
        <v>2</v>
      </c>
    </row>
    <row r="22" spans="1:29">
      <c r="A22" s="1">
        <v>18</v>
      </c>
      <c r="B22" s="3">
        <f t="shared" si="0"/>
        <v>192.5295386952869</v>
      </c>
      <c r="X22" s="42" t="s">
        <v>83</v>
      </c>
      <c r="Y22" s="54" t="s">
        <v>56</v>
      </c>
      <c r="Z22" s="29">
        <v>3</v>
      </c>
      <c r="AA22" s="38"/>
      <c r="AB22" s="38"/>
      <c r="AC22" s="38"/>
    </row>
    <row r="23" spans="1:29" ht="15.75">
      <c r="A23" s="1">
        <v>19</v>
      </c>
      <c r="B23" s="3">
        <f t="shared" si="0"/>
        <v>202.15601563005126</v>
      </c>
      <c r="X23" s="40" t="s">
        <v>81</v>
      </c>
      <c r="Y23" s="40"/>
      <c r="Z23" s="40"/>
      <c r="AA23" s="38"/>
      <c r="AB23" s="38"/>
      <c r="AC23" s="38"/>
    </row>
    <row r="24" spans="1:29">
      <c r="A24" s="4">
        <v>20</v>
      </c>
      <c r="B24" s="17">
        <f t="shared" si="0"/>
        <v>212.26381641155382</v>
      </c>
      <c r="X24" s="38" t="s">
        <v>49</v>
      </c>
      <c r="Y24" s="38" t="s">
        <v>55</v>
      </c>
      <c r="Z24" s="38" t="s">
        <v>17</v>
      </c>
      <c r="AA24" s="38"/>
      <c r="AB24" s="38"/>
      <c r="AC24" s="38"/>
    </row>
    <row r="25" spans="1:29">
      <c r="X25" s="38"/>
      <c r="Y25" s="38"/>
      <c r="Z25" s="38"/>
      <c r="AA25" s="38"/>
      <c r="AB25" s="38"/>
      <c r="AC25" s="38"/>
    </row>
    <row r="26" spans="1:29">
      <c r="X26" s="38" t="s">
        <v>50</v>
      </c>
      <c r="Y26" s="38" t="s">
        <v>57</v>
      </c>
      <c r="Z26" s="38">
        <v>45</v>
      </c>
      <c r="AA26" s="38"/>
      <c r="AB26" s="38"/>
      <c r="AC26" s="38"/>
    </row>
    <row r="27" spans="1:29">
      <c r="J27" s="30" t="s">
        <v>27</v>
      </c>
      <c r="N27" s="22">
        <f>H8/1000</f>
        <v>1.0318379964450533E-3</v>
      </c>
      <c r="X27" s="38" t="s">
        <v>51</v>
      </c>
      <c r="Y27" s="38" t="s">
        <v>58</v>
      </c>
      <c r="Z27" s="38">
        <v>4</v>
      </c>
      <c r="AA27" s="38"/>
      <c r="AB27" s="38"/>
      <c r="AC27" s="38"/>
    </row>
    <row r="28" spans="1:29">
      <c r="J28" s="67" t="s">
        <v>25</v>
      </c>
      <c r="K28" s="67"/>
      <c r="L28" s="67"/>
      <c r="N28" s="22">
        <v>140</v>
      </c>
      <c r="X28" s="38" t="s">
        <v>71</v>
      </c>
      <c r="Y28" s="38" t="s">
        <v>59</v>
      </c>
      <c r="Z28" s="38">
        <v>200</v>
      </c>
      <c r="AA28" s="38"/>
      <c r="AB28" s="38"/>
      <c r="AC28" s="38"/>
    </row>
    <row r="29" spans="1:29">
      <c r="J29" s="30" t="s">
        <v>26</v>
      </c>
      <c r="N29" s="30">
        <v>0.05</v>
      </c>
      <c r="X29" s="38" t="s">
        <v>52</v>
      </c>
      <c r="Y29" s="38" t="s">
        <v>60</v>
      </c>
      <c r="Z29" s="38">
        <v>250</v>
      </c>
      <c r="AA29" s="38"/>
      <c r="AB29" s="38"/>
      <c r="AC29" s="38"/>
    </row>
    <row r="30" spans="1:29">
      <c r="J30" s="68" t="s">
        <v>28</v>
      </c>
      <c r="K30" s="68"/>
      <c r="N30" s="30">
        <f>M21</f>
        <v>13.200000000000001</v>
      </c>
      <c r="X30" s="38" t="s">
        <v>53</v>
      </c>
      <c r="Y30" s="38" t="s">
        <v>59</v>
      </c>
      <c r="Z30" s="38">
        <v>10</v>
      </c>
      <c r="AA30" s="38"/>
      <c r="AB30" s="38"/>
      <c r="AC30" s="38"/>
    </row>
    <row r="31" spans="1:29">
      <c r="J31" s="68" t="s">
        <v>29</v>
      </c>
      <c r="K31" s="68"/>
      <c r="N31" s="30">
        <f>10.643*((N27/N28)^1.852)*(N30/(N29^4.87))</f>
        <v>9.5111597981468801E-2</v>
      </c>
      <c r="X31" s="38" t="s">
        <v>54</v>
      </c>
      <c r="Y31" s="38" t="s">
        <v>58</v>
      </c>
      <c r="Z31" s="38">
        <v>65</v>
      </c>
      <c r="AA31" s="38"/>
      <c r="AB31" s="38"/>
      <c r="AC31" s="38"/>
    </row>
    <row r="32" spans="1:29">
      <c r="X32" s="38"/>
      <c r="Y32" s="38"/>
      <c r="Z32" s="38"/>
      <c r="AA32" s="38"/>
      <c r="AB32" s="38"/>
      <c r="AC32" s="38"/>
    </row>
    <row r="33" spans="10:29" ht="15.75">
      <c r="X33" s="39" t="s">
        <v>63</v>
      </c>
      <c r="Y33" s="37"/>
      <c r="Z33" s="37"/>
      <c r="AA33" s="38"/>
      <c r="AB33" s="38"/>
      <c r="AC33" s="38">
        <f>0.8*0.6</f>
        <v>0.48</v>
      </c>
    </row>
    <row r="34" spans="10:29" ht="15.75">
      <c r="J34" s="66" t="s">
        <v>30</v>
      </c>
      <c r="K34" s="66"/>
      <c r="L34" s="66"/>
      <c r="X34" s="38"/>
      <c r="Y34" s="38" t="s">
        <v>55</v>
      </c>
      <c r="Z34" s="38" t="s">
        <v>17</v>
      </c>
      <c r="AA34" s="38"/>
      <c r="AB34" s="38"/>
      <c r="AC34" s="38"/>
    </row>
    <row r="35" spans="10:29">
      <c r="X35" s="34" t="s">
        <v>64</v>
      </c>
      <c r="Y35" s="38" t="s">
        <v>14</v>
      </c>
      <c r="Z35" s="38">
        <f>Z11</f>
        <v>5246</v>
      </c>
      <c r="AA35" s="38">
        <f>SUM(Z35:Z37)</f>
        <v>7241</v>
      </c>
      <c r="AB35" s="38"/>
      <c r="AC35" s="38"/>
    </row>
    <row r="36" spans="10:29">
      <c r="X36" s="35" t="s">
        <v>79</v>
      </c>
      <c r="Y36" s="38" t="s">
        <v>14</v>
      </c>
      <c r="Z36" s="38">
        <f>Z12</f>
        <v>1467</v>
      </c>
      <c r="AA36" s="38"/>
      <c r="AB36" s="38">
        <f>0.75*AA35</f>
        <v>5430.75</v>
      </c>
      <c r="AC36" s="38"/>
    </row>
    <row r="37" spans="10:29">
      <c r="X37" s="35" t="s">
        <v>65</v>
      </c>
      <c r="Y37" s="38" t="s">
        <v>14</v>
      </c>
      <c r="Z37" s="38">
        <f>Z13</f>
        <v>528</v>
      </c>
      <c r="AA37" s="38"/>
      <c r="AB37" s="38">
        <f>0.2*AA35</f>
        <v>1448.2</v>
      </c>
      <c r="AC37" s="38"/>
    </row>
    <row r="38" spans="10:29">
      <c r="X38" s="36" t="s">
        <v>74</v>
      </c>
      <c r="Y38" s="36" t="s">
        <v>58</v>
      </c>
      <c r="Z38" s="38">
        <f>AB36*AC33</f>
        <v>2606.7599999999998</v>
      </c>
      <c r="AA38" s="38"/>
      <c r="AB38" s="38">
        <f>0.05*AA35</f>
        <v>362.05</v>
      </c>
      <c r="AC38" s="38"/>
    </row>
    <row r="39" spans="10:29">
      <c r="X39" s="38" t="s">
        <v>70</v>
      </c>
      <c r="Y39" s="36" t="s">
        <v>58</v>
      </c>
      <c r="Z39" s="38">
        <f>AB37*AC33</f>
        <v>695.13599999999997</v>
      </c>
      <c r="AA39" s="38"/>
      <c r="AB39" s="38"/>
      <c r="AC39" s="38"/>
    </row>
    <row r="40" spans="10:29">
      <c r="X40" s="38" t="s">
        <v>75</v>
      </c>
      <c r="Y40" s="36" t="s">
        <v>58</v>
      </c>
      <c r="Z40" s="38">
        <f>AB38*AC33</f>
        <v>173.78399999999999</v>
      </c>
      <c r="AA40" s="38"/>
      <c r="AB40" s="38"/>
      <c r="AC40" s="38"/>
    </row>
    <row r="41" spans="10:29" ht="30">
      <c r="X41" s="31" t="s">
        <v>72</v>
      </c>
      <c r="Y41" s="38" t="s">
        <v>56</v>
      </c>
      <c r="Z41" s="38">
        <v>1</v>
      </c>
      <c r="AA41" s="38"/>
      <c r="AB41" s="38"/>
      <c r="AC41" s="38"/>
    </row>
    <row r="42" spans="10:29">
      <c r="K42" s="30" t="s">
        <v>31</v>
      </c>
      <c r="L42" s="30">
        <f>((10.643*((N27/N28)^1.852))/N8)^(1/4.87)</f>
        <v>3.6146050462979869E-2</v>
      </c>
      <c r="M42" s="30" t="s">
        <v>14</v>
      </c>
      <c r="X42" s="38" t="s">
        <v>66</v>
      </c>
      <c r="Y42" s="38" t="s">
        <v>69</v>
      </c>
      <c r="Z42" s="38">
        <v>250</v>
      </c>
      <c r="AA42" s="38"/>
      <c r="AB42" s="38"/>
      <c r="AC42" s="38"/>
    </row>
    <row r="43" spans="10:29">
      <c r="X43" s="38" t="s">
        <v>67</v>
      </c>
      <c r="Y43" s="38" t="s">
        <v>69</v>
      </c>
      <c r="Z43" s="38">
        <v>80</v>
      </c>
      <c r="AA43" s="38"/>
      <c r="AB43" s="38"/>
      <c r="AC43" s="38"/>
    </row>
    <row r="44" spans="10:29">
      <c r="X44" s="38" t="s">
        <v>68</v>
      </c>
      <c r="Y44" s="38" t="s">
        <v>69</v>
      </c>
      <c r="Z44" s="38">
        <v>350</v>
      </c>
    </row>
    <row r="45" spans="10:29">
      <c r="J45" s="61" t="s">
        <v>32</v>
      </c>
      <c r="K45" s="61"/>
      <c r="L45" s="61"/>
      <c r="M45" s="61"/>
      <c r="N45" s="61"/>
    </row>
    <row r="46" spans="10:29">
      <c r="J46" s="61"/>
      <c r="K46" s="61"/>
      <c r="L46" s="61"/>
      <c r="M46" s="61"/>
      <c r="N46" s="61"/>
    </row>
    <row r="47" spans="10:29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63" t="s">
        <v>37</v>
      </c>
      <c r="K58" s="63"/>
      <c r="L58" s="63"/>
      <c r="M58" s="63"/>
      <c r="N58" s="63"/>
    </row>
    <row r="59" spans="10:14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0" t="s">
        <v>40</v>
      </c>
      <c r="L62" s="30">
        <v>1.2</v>
      </c>
    </row>
    <row r="63" spans="10:14">
      <c r="K63" s="30" t="s">
        <v>31</v>
      </c>
      <c r="L63" s="30">
        <f>L61^(1/4)*L62*(N27^0.5)</f>
        <v>3.2413766950109675E-2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8193" r:id="rId3"/>
  </oleObjects>
</worksheet>
</file>

<file path=xl/worksheets/sheet7.xml><?xml version="1.0" encoding="utf-8"?>
<worksheet xmlns="http://schemas.openxmlformats.org/spreadsheetml/2006/main" xmlns:r="http://schemas.openxmlformats.org/officeDocument/2006/relationships">
  <dimension ref="A1:AC63"/>
  <sheetViews>
    <sheetView topLeftCell="N1" workbookViewId="0">
      <selection activeCell="Q18" sqref="Q18"/>
    </sheetView>
  </sheetViews>
  <sheetFormatPr defaultRowHeight="15"/>
  <cols>
    <col min="1" max="1" width="9.140625" style="56" customWidth="1"/>
    <col min="2" max="9" width="9.140625" style="56"/>
    <col min="10" max="10" width="18.85546875" style="56" bestFit="1" customWidth="1"/>
    <col min="11" max="11" width="11.5703125" style="56" customWidth="1"/>
    <col min="12" max="12" width="9.140625" style="56"/>
    <col min="13" max="13" width="9.140625" style="56" customWidth="1"/>
    <col min="14" max="14" width="9.5703125" style="56" bestFit="1" customWidth="1"/>
    <col min="15" max="23" width="9.140625" style="56"/>
    <col min="24" max="24" width="75.28515625" style="56" bestFit="1" customWidth="1"/>
    <col min="25" max="25" width="9.140625" style="56"/>
    <col min="26" max="26" width="11.42578125" style="56" customWidth="1"/>
    <col min="27" max="27" width="0.140625" style="56" customWidth="1"/>
    <col min="28" max="28" width="8.85546875" style="56" hidden="1" customWidth="1"/>
    <col min="29" max="29" width="9.140625" style="56" hidden="1" customWidth="1"/>
    <col min="30" max="16384" width="9.140625" style="56"/>
  </cols>
  <sheetData>
    <row r="1" spans="1:26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55" t="s">
        <v>61</v>
      </c>
      <c r="Y1" s="55"/>
      <c r="Z1" s="55"/>
    </row>
    <row r="2" spans="1:26">
      <c r="A2" s="73" t="s">
        <v>99</v>
      </c>
      <c r="B2" s="74"/>
    </row>
    <row r="3" spans="1:26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57" t="s">
        <v>62</v>
      </c>
    </row>
    <row r="4" spans="1:26">
      <c r="A4" s="1">
        <v>0</v>
      </c>
      <c r="B4" s="41">
        <v>80</v>
      </c>
    </row>
    <row r="5" spans="1:26">
      <c r="A5" s="1">
        <v>1</v>
      </c>
      <c r="B5" s="3">
        <f>B4*1.05</f>
        <v>84</v>
      </c>
      <c r="X5" s="56" t="s">
        <v>49</v>
      </c>
      <c r="Y5" s="56" t="s">
        <v>55</v>
      </c>
      <c r="Z5" s="56" t="s">
        <v>17</v>
      </c>
    </row>
    <row r="6" spans="1:26">
      <c r="A6" s="1">
        <v>2</v>
      </c>
      <c r="B6" s="3">
        <f t="shared" ref="B6:B24" si="0">B5*1.05</f>
        <v>88.2</v>
      </c>
      <c r="E6" s="56" t="s">
        <v>4</v>
      </c>
      <c r="F6" s="56" t="s">
        <v>5</v>
      </c>
      <c r="G6" s="56" t="s">
        <v>6</v>
      </c>
      <c r="H6" s="56" t="s">
        <v>7</v>
      </c>
    </row>
    <row r="7" spans="1:26">
      <c r="A7" s="1">
        <v>3</v>
      </c>
      <c r="B7" s="3">
        <f t="shared" si="0"/>
        <v>92.610000000000014</v>
      </c>
      <c r="E7" s="56">
        <v>1.2</v>
      </c>
      <c r="F7" s="56">
        <v>200</v>
      </c>
      <c r="G7" s="23">
        <f>B24</f>
        <v>212.26381641155382</v>
      </c>
      <c r="H7" s="22">
        <f>(E7*F7*G7)/86400</f>
        <v>0.58962171225431614</v>
      </c>
      <c r="R7" s="68" t="s">
        <v>42</v>
      </c>
      <c r="S7" s="68"/>
      <c r="T7" s="68"/>
      <c r="X7" s="56" t="s">
        <v>20</v>
      </c>
      <c r="Y7" s="56" t="s">
        <v>56</v>
      </c>
      <c r="Z7" s="56">
        <v>3</v>
      </c>
    </row>
    <row r="8" spans="1:26">
      <c r="A8" s="1">
        <v>4</v>
      </c>
      <c r="B8" s="3">
        <f t="shared" si="0"/>
        <v>97.240500000000011</v>
      </c>
      <c r="H8" s="56">
        <f>H7*1.75</f>
        <v>1.0318379964450533</v>
      </c>
      <c r="J8" s="68" t="s">
        <v>10</v>
      </c>
      <c r="K8" s="68"/>
      <c r="L8" s="68"/>
      <c r="N8" s="6">
        <f>N9/N10</f>
        <v>0.23474178403755869</v>
      </c>
      <c r="O8" s="56" t="s">
        <v>13</v>
      </c>
      <c r="R8" s="68" t="s">
        <v>43</v>
      </c>
      <c r="S8" s="68"/>
      <c r="T8" s="68"/>
      <c r="U8" s="68"/>
      <c r="V8" s="56">
        <f xml:space="preserve"> 1000</f>
        <v>1000</v>
      </c>
      <c r="X8" s="56" t="s">
        <v>21</v>
      </c>
      <c r="Y8" s="56" t="s">
        <v>56</v>
      </c>
      <c r="Z8" s="56">
        <v>1</v>
      </c>
    </row>
    <row r="9" spans="1:26">
      <c r="A9" s="1">
        <v>5</v>
      </c>
      <c r="B9" s="3">
        <f t="shared" si="0"/>
        <v>102.10252500000001</v>
      </c>
      <c r="J9" s="68" t="s">
        <v>11</v>
      </c>
      <c r="K9" s="68"/>
      <c r="L9" s="68"/>
      <c r="M9" s="68"/>
      <c r="N9" s="21">
        <v>150</v>
      </c>
      <c r="O9" s="56" t="s">
        <v>14</v>
      </c>
      <c r="R9" s="68" t="s">
        <v>44</v>
      </c>
      <c r="S9" s="68"/>
      <c r="X9" s="56" t="s">
        <v>91</v>
      </c>
      <c r="Y9" s="56" t="s">
        <v>56</v>
      </c>
      <c r="Z9" s="56">
        <v>5</v>
      </c>
    </row>
    <row r="10" spans="1:26">
      <c r="A10" s="1">
        <v>6</v>
      </c>
      <c r="B10" s="3">
        <f t="shared" si="0"/>
        <v>107.20765125000003</v>
      </c>
      <c r="J10" s="68" t="s">
        <v>12</v>
      </c>
      <c r="K10" s="68"/>
      <c r="L10" s="68"/>
      <c r="N10" s="21">
        <v>639</v>
      </c>
      <c r="O10" s="56" t="s">
        <v>14</v>
      </c>
      <c r="R10" s="68" t="s">
        <v>45</v>
      </c>
      <c r="S10" s="68"/>
      <c r="T10" s="68"/>
      <c r="X10" s="56" t="s">
        <v>90</v>
      </c>
      <c r="Y10" s="56" t="s">
        <v>56</v>
      </c>
      <c r="Z10" s="56">
        <v>15</v>
      </c>
    </row>
    <row r="11" spans="1:26">
      <c r="A11" s="1">
        <v>7</v>
      </c>
      <c r="B11" s="3">
        <f t="shared" si="0"/>
        <v>112.56803381250003</v>
      </c>
      <c r="R11" s="65" t="s">
        <v>48</v>
      </c>
      <c r="S11" s="65"/>
      <c r="T11" s="65"/>
      <c r="V11" s="16">
        <v>0.7</v>
      </c>
      <c r="X11" s="56" t="s">
        <v>80</v>
      </c>
      <c r="Y11" s="56" t="s">
        <v>14</v>
      </c>
      <c r="Z11" s="56">
        <v>3437</v>
      </c>
    </row>
    <row r="12" spans="1:26">
      <c r="A12" s="1">
        <v>8</v>
      </c>
      <c r="B12" s="3">
        <f t="shared" si="0"/>
        <v>118.19643550312504</v>
      </c>
      <c r="D12" s="56">
        <f>16*5</f>
        <v>80</v>
      </c>
      <c r="R12" s="56" t="s">
        <v>46</v>
      </c>
      <c r="S12" s="56">
        <f>V8*N27*(N9+M21)/(75*0.7)</f>
        <v>3.2075421146634793</v>
      </c>
      <c r="T12" s="56" t="s">
        <v>47</v>
      </c>
      <c r="X12" s="24" t="s">
        <v>87</v>
      </c>
      <c r="Y12" s="56" t="s">
        <v>14</v>
      </c>
      <c r="Z12" s="56">
        <v>2134</v>
      </c>
    </row>
    <row r="13" spans="1:26" ht="15.75">
      <c r="A13" s="1">
        <v>9</v>
      </c>
      <c r="B13" s="3">
        <f t="shared" si="0"/>
        <v>124.1062572782813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56" t="s">
        <v>14</v>
      </c>
      <c r="Z13" s="56">
        <v>429</v>
      </c>
    </row>
    <row r="14" spans="1:26">
      <c r="A14" s="1">
        <v>10</v>
      </c>
      <c r="B14" s="3">
        <f t="shared" si="0"/>
        <v>130.31157014219536</v>
      </c>
      <c r="X14" s="25" t="s">
        <v>89</v>
      </c>
      <c r="Y14" s="56" t="s">
        <v>56</v>
      </c>
      <c r="Z14" s="27">
        <v>1</v>
      </c>
    </row>
    <row r="15" spans="1:26" ht="14.25" customHeight="1">
      <c r="A15" s="1">
        <v>11</v>
      </c>
      <c r="B15" s="3">
        <f t="shared" si="0"/>
        <v>136.82714864930514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56" t="s">
        <v>56</v>
      </c>
      <c r="Z15" s="27">
        <v>18</v>
      </c>
    </row>
    <row r="16" spans="1:26">
      <c r="A16" s="1">
        <v>12</v>
      </c>
      <c r="B16" s="3">
        <f t="shared" si="0"/>
        <v>143.6685060817704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56" t="s">
        <v>56</v>
      </c>
      <c r="Z16" s="56">
        <v>16</v>
      </c>
    </row>
    <row r="17" spans="1:26">
      <c r="A17" s="1">
        <v>13</v>
      </c>
      <c r="B17" s="3">
        <f t="shared" si="0"/>
        <v>150.85193138585893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56" t="s">
        <v>56</v>
      </c>
      <c r="Z17" s="27">
        <v>9</v>
      </c>
    </row>
    <row r="18" spans="1:26">
      <c r="A18" s="1">
        <v>14</v>
      </c>
      <c r="B18" s="3">
        <f t="shared" si="0"/>
        <v>158.39452795515189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56" t="s">
        <v>56</v>
      </c>
      <c r="Z18" s="27">
        <v>7</v>
      </c>
    </row>
    <row r="19" spans="1:26">
      <c r="A19" s="1">
        <v>15</v>
      </c>
      <c r="B19" s="3">
        <f t="shared" si="0"/>
        <v>166.3142543529095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56" t="s">
        <v>56</v>
      </c>
      <c r="Z19" s="27">
        <v>7</v>
      </c>
    </row>
    <row r="20" spans="1:26">
      <c r="A20" s="1">
        <v>16</v>
      </c>
      <c r="B20" s="3">
        <f t="shared" si="0"/>
        <v>174.62996707055498</v>
      </c>
      <c r="J20" s="18"/>
      <c r="K20" s="20"/>
      <c r="L20" s="19"/>
      <c r="M20" s="19"/>
      <c r="X20" s="28" t="s">
        <v>73</v>
      </c>
      <c r="Y20" s="56" t="s">
        <v>56</v>
      </c>
      <c r="Z20" s="29">
        <v>1</v>
      </c>
    </row>
    <row r="21" spans="1:26">
      <c r="A21" s="1">
        <v>17</v>
      </c>
      <c r="B21" s="3">
        <f t="shared" si="0"/>
        <v>183.36146542408275</v>
      </c>
      <c r="L21" s="9" t="s">
        <v>24</v>
      </c>
      <c r="M21" s="56">
        <f>SUM(M16:M20)</f>
        <v>13.200000000000001</v>
      </c>
      <c r="X21" s="56" t="s">
        <v>76</v>
      </c>
      <c r="Y21" s="56" t="s">
        <v>56</v>
      </c>
      <c r="Z21" s="29">
        <v>2</v>
      </c>
    </row>
    <row r="22" spans="1:26">
      <c r="A22" s="1">
        <v>18</v>
      </c>
      <c r="B22" s="3">
        <f t="shared" si="0"/>
        <v>192.5295386952869</v>
      </c>
      <c r="X22" s="56" t="s">
        <v>83</v>
      </c>
      <c r="Y22" s="56" t="s">
        <v>56</v>
      </c>
      <c r="Z22" s="29">
        <v>3</v>
      </c>
    </row>
    <row r="23" spans="1:26" ht="15.75">
      <c r="A23" s="1">
        <v>19</v>
      </c>
      <c r="B23" s="3">
        <f t="shared" si="0"/>
        <v>202.15601563005126</v>
      </c>
      <c r="X23" s="57" t="s">
        <v>81</v>
      </c>
      <c r="Y23" s="57"/>
      <c r="Z23" s="57"/>
    </row>
    <row r="24" spans="1:26">
      <c r="A24" s="4">
        <v>20</v>
      </c>
      <c r="B24" s="17">
        <f t="shared" si="0"/>
        <v>212.26381641155382</v>
      </c>
      <c r="X24" s="56" t="s">
        <v>49</v>
      </c>
      <c r="Y24" s="56" t="s">
        <v>55</v>
      </c>
      <c r="Z24" s="56" t="s">
        <v>17</v>
      </c>
    </row>
    <row r="26" spans="1:26">
      <c r="X26" s="56" t="s">
        <v>50</v>
      </c>
      <c r="Y26" s="56" t="s">
        <v>57</v>
      </c>
      <c r="Z26" s="56">
        <v>45</v>
      </c>
    </row>
    <row r="27" spans="1:26">
      <c r="J27" s="56" t="s">
        <v>27</v>
      </c>
      <c r="N27" s="22">
        <f>H8/1000</f>
        <v>1.0318379964450533E-3</v>
      </c>
      <c r="X27" s="56" t="s">
        <v>51</v>
      </c>
      <c r="Y27" s="56" t="s">
        <v>58</v>
      </c>
      <c r="Z27" s="56">
        <v>4</v>
      </c>
    </row>
    <row r="28" spans="1:26">
      <c r="J28" s="67" t="s">
        <v>25</v>
      </c>
      <c r="K28" s="67"/>
      <c r="L28" s="67"/>
      <c r="N28" s="22">
        <v>140</v>
      </c>
      <c r="X28" s="56" t="s">
        <v>71</v>
      </c>
      <c r="Y28" s="56" t="s">
        <v>59</v>
      </c>
      <c r="Z28" s="56">
        <v>200</v>
      </c>
    </row>
    <row r="29" spans="1:26">
      <c r="J29" s="56" t="s">
        <v>26</v>
      </c>
      <c r="N29" s="56">
        <v>0.05</v>
      </c>
      <c r="X29" s="56" t="s">
        <v>52</v>
      </c>
      <c r="Y29" s="56" t="s">
        <v>60</v>
      </c>
      <c r="Z29" s="56">
        <v>250</v>
      </c>
    </row>
    <row r="30" spans="1:26">
      <c r="J30" s="68" t="s">
        <v>28</v>
      </c>
      <c r="K30" s="68"/>
      <c r="N30" s="56">
        <f>M21</f>
        <v>13.200000000000001</v>
      </c>
      <c r="X30" s="56" t="s">
        <v>53</v>
      </c>
      <c r="Y30" s="56" t="s">
        <v>59</v>
      </c>
      <c r="Z30" s="56">
        <v>10</v>
      </c>
    </row>
    <row r="31" spans="1:26">
      <c r="J31" s="68" t="s">
        <v>29</v>
      </c>
      <c r="K31" s="68"/>
      <c r="N31" s="56">
        <f>10.643*((N27/N28)^1.852)*(N30/(N29^4.87))</f>
        <v>9.5111597981468801E-2</v>
      </c>
      <c r="X31" s="56" t="s">
        <v>54</v>
      </c>
      <c r="Y31" s="56" t="s">
        <v>58</v>
      </c>
      <c r="Z31" s="56">
        <v>65</v>
      </c>
    </row>
    <row r="33" spans="10:29" ht="15.75">
      <c r="X33" s="55" t="s">
        <v>63</v>
      </c>
      <c r="Y33" s="43"/>
      <c r="Z33" s="43"/>
      <c r="AC33" s="56">
        <f>0.8*0.6</f>
        <v>0.48</v>
      </c>
    </row>
    <row r="34" spans="10:29" ht="15.75">
      <c r="J34" s="66" t="s">
        <v>30</v>
      </c>
      <c r="K34" s="66"/>
      <c r="L34" s="66"/>
      <c r="Y34" s="56" t="s">
        <v>55</v>
      </c>
      <c r="Z34" s="56" t="s">
        <v>17</v>
      </c>
    </row>
    <row r="35" spans="10:29">
      <c r="X35" s="34" t="s">
        <v>64</v>
      </c>
      <c r="Y35" s="56" t="s">
        <v>14</v>
      </c>
      <c r="Z35" s="56">
        <f>Z11</f>
        <v>3437</v>
      </c>
      <c r="AA35" s="56">
        <f>SUM(Z35:Z37)</f>
        <v>6000</v>
      </c>
    </row>
    <row r="36" spans="10:29">
      <c r="X36" s="35" t="s">
        <v>79</v>
      </c>
      <c r="Y36" s="56" t="s">
        <v>14</v>
      </c>
      <c r="Z36" s="56">
        <f>Z12</f>
        <v>2134</v>
      </c>
      <c r="AB36" s="56">
        <f>0.75*AA35</f>
        <v>4500</v>
      </c>
    </row>
    <row r="37" spans="10:29">
      <c r="X37" s="35" t="s">
        <v>65</v>
      </c>
      <c r="Y37" s="56" t="s">
        <v>14</v>
      </c>
      <c r="Z37" s="56">
        <f>Z13</f>
        <v>429</v>
      </c>
      <c r="AB37" s="56">
        <f>0.2*AA35</f>
        <v>1200</v>
      </c>
    </row>
    <row r="38" spans="10:29">
      <c r="X38" s="36" t="s">
        <v>74</v>
      </c>
      <c r="Y38" s="36" t="s">
        <v>58</v>
      </c>
      <c r="Z38" s="56">
        <f>AB36*AC33</f>
        <v>2160</v>
      </c>
      <c r="AB38" s="56">
        <f>0.05*AA35</f>
        <v>300</v>
      </c>
    </row>
    <row r="39" spans="10:29">
      <c r="X39" s="56" t="s">
        <v>70</v>
      </c>
      <c r="Y39" s="36" t="s">
        <v>58</v>
      </c>
      <c r="Z39" s="56">
        <f>AB37*AC33</f>
        <v>576</v>
      </c>
    </row>
    <row r="40" spans="10:29">
      <c r="X40" s="56" t="s">
        <v>75</v>
      </c>
      <c r="Y40" s="36" t="s">
        <v>58</v>
      </c>
      <c r="Z40" s="56">
        <f>AB38*AC33</f>
        <v>144</v>
      </c>
    </row>
    <row r="41" spans="10:29" ht="30">
      <c r="X41" s="31" t="s">
        <v>72</v>
      </c>
      <c r="Y41" s="56" t="s">
        <v>56</v>
      </c>
      <c r="Z41" s="56">
        <v>1</v>
      </c>
    </row>
    <row r="42" spans="10:29">
      <c r="K42" s="56" t="s">
        <v>31</v>
      </c>
      <c r="L42" s="56">
        <f>((10.643*((N27/N28)^1.852))/N8)^(1/4.87)</f>
        <v>2.44515607046745E-2</v>
      </c>
      <c r="M42" s="56" t="s">
        <v>14</v>
      </c>
      <c r="X42" s="56" t="s">
        <v>66</v>
      </c>
      <c r="Y42" s="56" t="s">
        <v>69</v>
      </c>
      <c r="Z42" s="56">
        <v>250</v>
      </c>
    </row>
    <row r="43" spans="10:29">
      <c r="X43" s="56" t="s">
        <v>67</v>
      </c>
      <c r="Y43" s="56" t="s">
        <v>69</v>
      </c>
      <c r="Z43" s="56">
        <v>80</v>
      </c>
    </row>
    <row r="44" spans="10:29">
      <c r="X44" s="56" t="s">
        <v>68</v>
      </c>
      <c r="Y44" s="56" t="s">
        <v>69</v>
      </c>
      <c r="Z44" s="56">
        <v>350</v>
      </c>
    </row>
    <row r="45" spans="10:29">
      <c r="J45" s="61" t="s">
        <v>32</v>
      </c>
      <c r="K45" s="61"/>
      <c r="L45" s="61"/>
      <c r="M45" s="61"/>
      <c r="N45" s="61"/>
    </row>
    <row r="46" spans="10:29">
      <c r="J46" s="61"/>
      <c r="K46" s="61"/>
      <c r="L46" s="61"/>
      <c r="M46" s="61"/>
      <c r="N46" s="61"/>
    </row>
    <row r="47" spans="10:29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63" t="s">
        <v>37</v>
      </c>
      <c r="K58" s="63"/>
      <c r="L58" s="63"/>
      <c r="M58" s="63"/>
      <c r="N58" s="63"/>
    </row>
    <row r="59" spans="10:14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56" t="s">
        <v>40</v>
      </c>
      <c r="L62" s="56">
        <v>1.2</v>
      </c>
    </row>
    <row r="63" spans="10:14">
      <c r="K63" s="56" t="s">
        <v>31</v>
      </c>
      <c r="L63" s="56">
        <f>L61^(1/4)*L62*(N27^0.5)</f>
        <v>3.2413766950109675E-2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9217" r:id="rId3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1:AC63"/>
  <sheetViews>
    <sheetView tabSelected="1" topLeftCell="Q1" workbookViewId="0">
      <selection activeCell="AC22" sqref="AC1:AC1048576"/>
    </sheetView>
  </sheetViews>
  <sheetFormatPr defaultRowHeight="15"/>
  <cols>
    <col min="1" max="1" width="9.140625" style="58" customWidth="1"/>
    <col min="2" max="9" width="9.140625" style="58"/>
    <col min="10" max="10" width="18.85546875" style="58" bestFit="1" customWidth="1"/>
    <col min="11" max="11" width="11.5703125" style="58" customWidth="1"/>
    <col min="12" max="12" width="9.140625" style="58"/>
    <col min="13" max="13" width="9.140625" style="58" customWidth="1"/>
    <col min="14" max="14" width="9.5703125" style="58" bestFit="1" customWidth="1"/>
    <col min="15" max="23" width="9.140625" style="58"/>
    <col min="24" max="24" width="75.28515625" style="58" bestFit="1" customWidth="1"/>
    <col min="25" max="25" width="9.140625" style="58"/>
    <col min="26" max="26" width="11.42578125" style="58" customWidth="1"/>
    <col min="27" max="28" width="9" style="58" customWidth="1"/>
    <col min="29" max="29" width="9.140625" style="58" hidden="1" customWidth="1"/>
    <col min="30" max="16384" width="9.140625" style="58"/>
  </cols>
  <sheetData>
    <row r="1" spans="1:26" ht="15.75">
      <c r="A1" s="69" t="s">
        <v>2</v>
      </c>
      <c r="B1" s="70"/>
      <c r="C1" s="70"/>
      <c r="D1" s="5"/>
      <c r="E1" s="66" t="s">
        <v>3</v>
      </c>
      <c r="F1" s="66"/>
      <c r="G1" s="66"/>
      <c r="H1" s="71"/>
      <c r="J1" s="66" t="s">
        <v>8</v>
      </c>
      <c r="K1" s="66"/>
      <c r="L1" s="66"/>
      <c r="M1" s="66"/>
      <c r="N1" s="66"/>
      <c r="O1" s="66"/>
      <c r="R1" s="72" t="s">
        <v>41</v>
      </c>
      <c r="S1" s="72"/>
      <c r="T1" s="72"/>
      <c r="U1" s="72"/>
      <c r="X1" s="66" t="s">
        <v>61</v>
      </c>
      <c r="Y1" s="66"/>
      <c r="Z1" s="66"/>
    </row>
    <row r="2" spans="1:26">
      <c r="A2" s="73" t="s">
        <v>100</v>
      </c>
      <c r="B2" s="74"/>
    </row>
    <row r="3" spans="1:26" ht="15.75">
      <c r="A3" s="1" t="s">
        <v>0</v>
      </c>
      <c r="B3" s="2" t="s">
        <v>1</v>
      </c>
      <c r="J3" s="66" t="s">
        <v>9</v>
      </c>
      <c r="K3" s="66"/>
      <c r="L3" s="66"/>
      <c r="M3" s="66"/>
      <c r="N3" s="66"/>
      <c r="X3" s="60" t="s">
        <v>62</v>
      </c>
    </row>
    <row r="4" spans="1:26">
      <c r="A4" s="1">
        <v>0</v>
      </c>
      <c r="B4" s="41">
        <v>175</v>
      </c>
    </row>
    <row r="5" spans="1:26">
      <c r="A5" s="1">
        <v>1</v>
      </c>
      <c r="B5" s="3">
        <f>B4*1.05</f>
        <v>183.75</v>
      </c>
      <c r="X5" s="58" t="s">
        <v>49</v>
      </c>
      <c r="Y5" s="58" t="s">
        <v>55</v>
      </c>
      <c r="Z5" s="58" t="s">
        <v>17</v>
      </c>
    </row>
    <row r="6" spans="1:26">
      <c r="A6" s="1">
        <v>2</v>
      </c>
      <c r="B6" s="3">
        <f t="shared" ref="B6:B24" si="0">B5*1.05</f>
        <v>192.9375</v>
      </c>
      <c r="E6" s="58" t="s">
        <v>4</v>
      </c>
      <c r="F6" s="58" t="s">
        <v>5</v>
      </c>
      <c r="G6" s="58" t="s">
        <v>6</v>
      </c>
      <c r="H6" s="58" t="s">
        <v>7</v>
      </c>
    </row>
    <row r="7" spans="1:26">
      <c r="A7" s="1">
        <v>3</v>
      </c>
      <c r="B7" s="3">
        <f t="shared" si="0"/>
        <v>202.58437500000002</v>
      </c>
      <c r="E7" s="58">
        <v>1.2</v>
      </c>
      <c r="F7" s="58">
        <v>200</v>
      </c>
      <c r="G7" s="23">
        <f>B24</f>
        <v>464.32709840027405</v>
      </c>
      <c r="H7" s="22">
        <f>(E7*F7*G7)/86400</f>
        <v>1.289797495556317</v>
      </c>
      <c r="R7" s="68" t="s">
        <v>42</v>
      </c>
      <c r="S7" s="68"/>
      <c r="T7" s="68"/>
      <c r="X7" s="58" t="s">
        <v>20</v>
      </c>
      <c r="Y7" s="58" t="s">
        <v>56</v>
      </c>
      <c r="Z7" s="58">
        <v>3</v>
      </c>
    </row>
    <row r="8" spans="1:26">
      <c r="A8" s="1">
        <v>4</v>
      </c>
      <c r="B8" s="3">
        <f t="shared" si="0"/>
        <v>212.71359375000003</v>
      </c>
      <c r="H8" s="58">
        <f>H7*1.75</f>
        <v>2.2571456172235544</v>
      </c>
      <c r="J8" s="68" t="s">
        <v>10</v>
      </c>
      <c r="K8" s="68"/>
      <c r="L8" s="68"/>
      <c r="N8" s="6">
        <f>N9/N10</f>
        <v>9.2142453363482188E-2</v>
      </c>
      <c r="O8" s="58" t="s">
        <v>13</v>
      </c>
      <c r="R8" s="68" t="s">
        <v>43</v>
      </c>
      <c r="S8" s="68"/>
      <c r="T8" s="68"/>
      <c r="U8" s="68"/>
      <c r="V8" s="58">
        <f xml:space="preserve"> 1000</f>
        <v>1000</v>
      </c>
      <c r="X8" s="58" t="s">
        <v>21</v>
      </c>
      <c r="Y8" s="58" t="s">
        <v>56</v>
      </c>
      <c r="Z8" s="58">
        <v>1</v>
      </c>
    </row>
    <row r="9" spans="1:26">
      <c r="A9" s="1">
        <v>5</v>
      </c>
      <c r="B9" s="3">
        <f t="shared" si="0"/>
        <v>223.34927343750005</v>
      </c>
      <c r="J9" s="68" t="s">
        <v>11</v>
      </c>
      <c r="K9" s="68"/>
      <c r="L9" s="68"/>
      <c r="M9" s="68"/>
      <c r="N9" s="21">
        <v>163</v>
      </c>
      <c r="O9" s="58" t="s">
        <v>14</v>
      </c>
      <c r="R9" s="68" t="s">
        <v>44</v>
      </c>
      <c r="S9" s="68"/>
      <c r="X9" s="58" t="s">
        <v>91</v>
      </c>
      <c r="Y9" s="58" t="s">
        <v>56</v>
      </c>
      <c r="Z9" s="58">
        <v>5</v>
      </c>
    </row>
    <row r="10" spans="1:26">
      <c r="A10" s="1">
        <v>6</v>
      </c>
      <c r="B10" s="3">
        <f t="shared" si="0"/>
        <v>234.51673710937504</v>
      </c>
      <c r="J10" s="68" t="s">
        <v>12</v>
      </c>
      <c r="K10" s="68"/>
      <c r="L10" s="68"/>
      <c r="N10" s="21">
        <v>1769</v>
      </c>
      <c r="O10" s="58" t="s">
        <v>14</v>
      </c>
      <c r="R10" s="68" t="s">
        <v>45</v>
      </c>
      <c r="S10" s="68"/>
      <c r="T10" s="68"/>
      <c r="X10" s="58" t="s">
        <v>90</v>
      </c>
      <c r="Y10" s="58" t="s">
        <v>56</v>
      </c>
      <c r="Z10" s="58">
        <v>12</v>
      </c>
    </row>
    <row r="11" spans="1:26">
      <c r="A11" s="1">
        <v>7</v>
      </c>
      <c r="B11" s="3">
        <f t="shared" si="0"/>
        <v>246.24257396484381</v>
      </c>
      <c r="R11" s="65" t="s">
        <v>48</v>
      </c>
      <c r="S11" s="65"/>
      <c r="T11" s="65"/>
      <c r="V11" s="16">
        <v>0.7</v>
      </c>
      <c r="X11" s="58" t="s">
        <v>80</v>
      </c>
      <c r="Y11" s="58" t="s">
        <v>14</v>
      </c>
      <c r="Z11" s="58">
        <v>12521</v>
      </c>
    </row>
    <row r="12" spans="1:26">
      <c r="A12" s="1">
        <v>8</v>
      </c>
      <c r="B12" s="3">
        <f t="shared" si="0"/>
        <v>258.554702663086</v>
      </c>
      <c r="D12" s="58">
        <f>35*5</f>
        <v>175</v>
      </c>
      <c r="R12" s="58" t="s">
        <v>46</v>
      </c>
      <c r="S12" s="58">
        <f>V8*N27*(N9+M21)/(75*0.7)</f>
        <v>7.5754106239007664</v>
      </c>
      <c r="T12" s="58" t="s">
        <v>47</v>
      </c>
      <c r="X12" s="24" t="s">
        <v>87</v>
      </c>
      <c r="Y12" s="58" t="s">
        <v>14</v>
      </c>
      <c r="Z12" s="58">
        <v>1033</v>
      </c>
    </row>
    <row r="13" spans="1:26" ht="15.75">
      <c r="A13" s="1">
        <v>9</v>
      </c>
      <c r="B13" s="3">
        <f t="shared" si="0"/>
        <v>271.48243779624033</v>
      </c>
      <c r="J13" s="66" t="s">
        <v>15</v>
      </c>
      <c r="K13" s="66"/>
      <c r="L13" s="66"/>
      <c r="M13" s="66"/>
      <c r="N13" s="66"/>
      <c r="O13" s="66"/>
      <c r="P13" s="66"/>
      <c r="Q13" s="10"/>
      <c r="X13" s="24" t="s">
        <v>88</v>
      </c>
      <c r="Y13" s="58" t="s">
        <v>14</v>
      </c>
      <c r="Z13" s="27">
        <v>865</v>
      </c>
    </row>
    <row r="14" spans="1:26">
      <c r="A14" s="1">
        <v>10</v>
      </c>
      <c r="B14" s="3">
        <f t="shared" si="0"/>
        <v>285.05655968605237</v>
      </c>
      <c r="X14" s="25" t="s">
        <v>89</v>
      </c>
      <c r="Y14" s="58" t="s">
        <v>56</v>
      </c>
      <c r="Z14" s="27">
        <v>1</v>
      </c>
    </row>
    <row r="15" spans="1:26" ht="18.75" customHeight="1">
      <c r="A15" s="1">
        <v>11</v>
      </c>
      <c r="B15" s="3">
        <f t="shared" si="0"/>
        <v>299.30938767035502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58" t="s">
        <v>56</v>
      </c>
      <c r="Z15" s="27">
        <v>40</v>
      </c>
    </row>
    <row r="16" spans="1:26">
      <c r="A16" s="1">
        <v>12</v>
      </c>
      <c r="B16" s="3">
        <f t="shared" si="0"/>
        <v>314.27485705387278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58" t="s">
        <v>56</v>
      </c>
      <c r="Z16" s="27">
        <v>35</v>
      </c>
    </row>
    <row r="17" spans="1:26">
      <c r="A17" s="1">
        <v>13</v>
      </c>
      <c r="B17" s="3">
        <f t="shared" si="0"/>
        <v>329.98859990656644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58" t="s">
        <v>56</v>
      </c>
      <c r="Z17" s="27">
        <v>31</v>
      </c>
    </row>
    <row r="18" spans="1:26">
      <c r="A18" s="1">
        <v>14</v>
      </c>
      <c r="B18" s="3">
        <f t="shared" si="0"/>
        <v>346.48802990189478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58" t="s">
        <v>56</v>
      </c>
      <c r="Z18" s="27">
        <v>4</v>
      </c>
    </row>
    <row r="19" spans="1:26">
      <c r="A19" s="1">
        <v>15</v>
      </c>
      <c r="B19" s="3">
        <f t="shared" si="0"/>
        <v>363.81243139698955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58" t="s">
        <v>56</v>
      </c>
      <c r="Z19" s="27">
        <v>4</v>
      </c>
    </row>
    <row r="20" spans="1:26">
      <c r="A20" s="1">
        <v>16</v>
      </c>
      <c r="B20" s="3">
        <f t="shared" si="0"/>
        <v>382.00305296683905</v>
      </c>
      <c r="J20" s="18"/>
      <c r="K20" s="20"/>
      <c r="L20" s="19"/>
      <c r="M20" s="19"/>
      <c r="X20" s="28" t="s">
        <v>73</v>
      </c>
      <c r="Y20" s="58" t="s">
        <v>56</v>
      </c>
      <c r="Z20" s="50">
        <v>1</v>
      </c>
    </row>
    <row r="21" spans="1:26">
      <c r="A21" s="1">
        <v>17</v>
      </c>
      <c r="B21" s="3">
        <f t="shared" si="0"/>
        <v>401.10320561518103</v>
      </c>
      <c r="L21" s="9" t="s">
        <v>24</v>
      </c>
      <c r="M21" s="58">
        <f>SUM(M16:M20)</f>
        <v>13.200000000000001</v>
      </c>
      <c r="X21" s="58" t="s">
        <v>76</v>
      </c>
      <c r="Y21" s="58" t="s">
        <v>56</v>
      </c>
      <c r="Z21" s="29">
        <v>2</v>
      </c>
    </row>
    <row r="22" spans="1:26">
      <c r="A22" s="1">
        <v>18</v>
      </c>
      <c r="B22" s="3">
        <f t="shared" si="0"/>
        <v>421.15836589594011</v>
      </c>
      <c r="X22" s="58" t="s">
        <v>83</v>
      </c>
      <c r="Y22" s="58" t="s">
        <v>56</v>
      </c>
      <c r="Z22" s="29">
        <v>3</v>
      </c>
    </row>
    <row r="23" spans="1:26">
      <c r="A23" s="1">
        <v>19</v>
      </c>
      <c r="B23" s="3">
        <f t="shared" si="0"/>
        <v>442.21628419073716</v>
      </c>
    </row>
    <row r="24" spans="1:26" ht="15.75">
      <c r="A24" s="4">
        <v>20</v>
      </c>
      <c r="B24" s="17">
        <f t="shared" si="0"/>
        <v>464.32709840027405</v>
      </c>
      <c r="X24" s="60" t="s">
        <v>78</v>
      </c>
      <c r="Y24" s="60"/>
      <c r="Z24" s="60"/>
    </row>
    <row r="25" spans="1:26">
      <c r="X25" s="58" t="s">
        <v>49</v>
      </c>
      <c r="Y25" s="58" t="s">
        <v>55</v>
      </c>
      <c r="Z25" s="58" t="s">
        <v>17</v>
      </c>
    </row>
    <row r="27" spans="1:26">
      <c r="J27" s="58" t="s">
        <v>27</v>
      </c>
      <c r="N27" s="22">
        <f>H8/1000</f>
        <v>2.2571456172235543E-3</v>
      </c>
      <c r="X27" s="58" t="s">
        <v>50</v>
      </c>
      <c r="Y27" s="58" t="s">
        <v>57</v>
      </c>
      <c r="Z27" s="58">
        <v>90</v>
      </c>
    </row>
    <row r="28" spans="1:26">
      <c r="J28" s="67" t="s">
        <v>25</v>
      </c>
      <c r="K28" s="67"/>
      <c r="L28" s="67"/>
      <c r="N28" s="22">
        <v>140</v>
      </c>
      <c r="X28" s="58" t="s">
        <v>51</v>
      </c>
      <c r="Y28" s="58" t="s">
        <v>58</v>
      </c>
      <c r="Z28" s="58">
        <v>8</v>
      </c>
    </row>
    <row r="29" spans="1:26">
      <c r="J29" s="58" t="s">
        <v>26</v>
      </c>
      <c r="N29" s="58">
        <v>0.05</v>
      </c>
      <c r="X29" s="58" t="s">
        <v>77</v>
      </c>
      <c r="Y29" s="58" t="s">
        <v>59</v>
      </c>
      <c r="Z29" s="58">
        <v>380</v>
      </c>
    </row>
    <row r="30" spans="1:26">
      <c r="J30" s="68" t="s">
        <v>28</v>
      </c>
      <c r="K30" s="68"/>
      <c r="N30" s="58">
        <f>M21</f>
        <v>13.200000000000001</v>
      </c>
      <c r="X30" s="58" t="s">
        <v>71</v>
      </c>
      <c r="Y30" s="58" t="s">
        <v>60</v>
      </c>
      <c r="Z30" s="58">
        <v>450</v>
      </c>
    </row>
    <row r="31" spans="1:26">
      <c r="J31" s="68" t="s">
        <v>29</v>
      </c>
      <c r="K31" s="68"/>
      <c r="N31" s="58">
        <f>10.643*((N27/N28)^1.852)*(N30/(N29^4.87))</f>
        <v>0.4053379704497091</v>
      </c>
      <c r="X31" s="58" t="s">
        <v>52</v>
      </c>
      <c r="Y31" s="58" t="s">
        <v>60</v>
      </c>
      <c r="Z31" s="58">
        <v>450</v>
      </c>
    </row>
    <row r="32" spans="1:26">
      <c r="X32" s="58" t="s">
        <v>53</v>
      </c>
      <c r="Y32" s="58" t="s">
        <v>59</v>
      </c>
      <c r="Z32" s="58">
        <v>10</v>
      </c>
    </row>
    <row r="33" spans="10:29">
      <c r="X33" s="58" t="s">
        <v>54</v>
      </c>
      <c r="Y33" s="58" t="s">
        <v>58</v>
      </c>
      <c r="Z33" s="58">
        <v>140</v>
      </c>
    </row>
    <row r="34" spans="10:29" ht="15.75">
      <c r="J34" s="66" t="s">
        <v>30</v>
      </c>
      <c r="K34" s="66"/>
      <c r="L34" s="66"/>
    </row>
    <row r="35" spans="10:29" ht="15.75">
      <c r="X35" s="59" t="s">
        <v>63</v>
      </c>
      <c r="Y35" s="43"/>
      <c r="Z35" s="43"/>
    </row>
    <row r="36" spans="10:29">
      <c r="Y36" s="58" t="s">
        <v>55</v>
      </c>
      <c r="Z36" s="58" t="s">
        <v>17</v>
      </c>
      <c r="AC36" s="58">
        <v>0.48</v>
      </c>
    </row>
    <row r="37" spans="10:29">
      <c r="X37" s="34" t="s">
        <v>64</v>
      </c>
      <c r="Y37" s="58" t="s">
        <v>14</v>
      </c>
      <c r="Z37" s="58">
        <f>Z11</f>
        <v>12521</v>
      </c>
      <c r="AA37" s="58">
        <f>SUM(Z37:Z39)</f>
        <v>14419</v>
      </c>
    </row>
    <row r="38" spans="10:29">
      <c r="X38" s="35" t="s">
        <v>79</v>
      </c>
      <c r="Y38" s="58" t="s">
        <v>14</v>
      </c>
      <c r="Z38" s="58">
        <f>Z12</f>
        <v>1033</v>
      </c>
      <c r="AB38" s="58">
        <f>0.75*AA37</f>
        <v>10814.25</v>
      </c>
    </row>
    <row r="39" spans="10:29">
      <c r="X39" s="35" t="s">
        <v>65</v>
      </c>
      <c r="Y39" s="58" t="s">
        <v>14</v>
      </c>
      <c r="Z39" s="58">
        <f>Z13</f>
        <v>865</v>
      </c>
      <c r="AB39" s="58">
        <f>0.2*AA37</f>
        <v>2883.8</v>
      </c>
    </row>
    <row r="40" spans="10:29">
      <c r="X40" s="36" t="s">
        <v>74</v>
      </c>
      <c r="Y40" s="36" t="s">
        <v>58</v>
      </c>
      <c r="Z40" s="58">
        <f>AB38*AC36</f>
        <v>5190.84</v>
      </c>
      <c r="AB40" s="58">
        <f>0.05*AA37</f>
        <v>720.95</v>
      </c>
    </row>
    <row r="41" spans="10:29">
      <c r="X41" s="58" t="s">
        <v>70</v>
      </c>
      <c r="Y41" s="36" t="s">
        <v>58</v>
      </c>
      <c r="Z41" s="58">
        <f>AB39*AC36</f>
        <v>1384.2239999999999</v>
      </c>
    </row>
    <row r="42" spans="10:29">
      <c r="K42" s="58" t="s">
        <v>31</v>
      </c>
      <c r="L42" s="58">
        <f>((10.643*((N27/N28)^1.852))/N8)^(1/4.87)</f>
        <v>3.990055662025261E-2</v>
      </c>
      <c r="M42" s="58" t="s">
        <v>14</v>
      </c>
      <c r="X42" s="58" t="s">
        <v>75</v>
      </c>
      <c r="Y42" s="36" t="s">
        <v>58</v>
      </c>
      <c r="Z42" s="58">
        <f>AB40*AC36</f>
        <v>346.05599999999998</v>
      </c>
    </row>
    <row r="43" spans="10:29" ht="30">
      <c r="X43" s="31" t="s">
        <v>72</v>
      </c>
      <c r="Y43" s="58" t="s">
        <v>56</v>
      </c>
      <c r="Z43" s="58">
        <v>1</v>
      </c>
    </row>
    <row r="44" spans="10:29">
      <c r="X44" s="58" t="s">
        <v>66</v>
      </c>
      <c r="Y44" s="58" t="s">
        <v>69</v>
      </c>
      <c r="Z44" s="58">
        <v>300</v>
      </c>
    </row>
    <row r="45" spans="10:29" ht="15" customHeight="1">
      <c r="J45" s="61" t="s">
        <v>32</v>
      </c>
      <c r="K45" s="61"/>
      <c r="L45" s="61"/>
      <c r="M45" s="61"/>
      <c r="N45" s="61"/>
      <c r="X45" s="58" t="s">
        <v>67</v>
      </c>
      <c r="Y45" s="58" t="s">
        <v>69</v>
      </c>
      <c r="Z45" s="58">
        <v>90</v>
      </c>
    </row>
    <row r="46" spans="10:29" ht="15" customHeight="1">
      <c r="J46" s="61"/>
      <c r="K46" s="61"/>
      <c r="L46" s="61"/>
      <c r="M46" s="61"/>
      <c r="N46" s="61"/>
      <c r="X46" s="58" t="s">
        <v>68</v>
      </c>
      <c r="Y46" s="58" t="s">
        <v>69</v>
      </c>
      <c r="Z46" s="58">
        <v>400</v>
      </c>
    </row>
    <row r="47" spans="10:29" ht="15" customHeight="1">
      <c r="J47" s="61"/>
      <c r="K47" s="61"/>
      <c r="L47" s="61"/>
      <c r="M47" s="61"/>
      <c r="N47" s="61"/>
    </row>
    <row r="50" spans="10:14">
      <c r="J50" s="62" t="s">
        <v>33</v>
      </c>
      <c r="K50" s="62"/>
      <c r="L50" s="62"/>
      <c r="M50" s="62"/>
      <c r="N50" s="6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63" t="s">
        <v>37</v>
      </c>
      <c r="K58" s="63"/>
      <c r="L58" s="63"/>
      <c r="M58" s="63"/>
      <c r="N58" s="63"/>
    </row>
    <row r="59" spans="10:14">
      <c r="J59" s="64" t="s">
        <v>38</v>
      </c>
      <c r="K59" s="64"/>
      <c r="L59" s="64"/>
      <c r="M59" s="64"/>
      <c r="N59" s="6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58" t="s">
        <v>40</v>
      </c>
      <c r="L62" s="58">
        <v>1.2</v>
      </c>
    </row>
    <row r="63" spans="10:14">
      <c r="K63" s="58" t="s">
        <v>31</v>
      </c>
      <c r="L63" s="58">
        <f>L61^(1/4)*L62*(N27^0.5)</f>
        <v>4.7940607836911585E-2</v>
      </c>
    </row>
  </sheetData>
  <mergeCells count="24">
    <mergeCell ref="J31:K31"/>
    <mergeCell ref="J34:L34"/>
    <mergeCell ref="J45:N47"/>
    <mergeCell ref="J50:N50"/>
    <mergeCell ref="J58:N58"/>
    <mergeCell ref="J59:N59"/>
    <mergeCell ref="J10:L10"/>
    <mergeCell ref="R10:T10"/>
    <mergeCell ref="R11:T11"/>
    <mergeCell ref="J13:P13"/>
    <mergeCell ref="J28:L28"/>
    <mergeCell ref="J30:K30"/>
    <mergeCell ref="J3:N3"/>
    <mergeCell ref="R7:T7"/>
    <mergeCell ref="J8:L8"/>
    <mergeCell ref="R8:U8"/>
    <mergeCell ref="J9:M9"/>
    <mergeCell ref="R9:S9"/>
    <mergeCell ref="A1:C1"/>
    <mergeCell ref="E1:H1"/>
    <mergeCell ref="J1:O1"/>
    <mergeCell ref="R1:U1"/>
    <mergeCell ref="X1:Z1"/>
    <mergeCell ref="A2:B2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10241" r:id="rId3"/>
    <oleObject progId="Equation.3" shapeId="10242" r:id="rId4"/>
    <oleObject progId="Equation.3" shapeId="10243" r:id="rId5"/>
    <oleObject progId="Equation.3" shapeId="10244" r:id="rId6"/>
    <oleObject progId="Equation.3" shapeId="1024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Laranjeiras</vt:lpstr>
      <vt:lpstr>Lingua D'Água</vt:lpstr>
      <vt:lpstr>São Sebastião</vt:lpstr>
      <vt:lpstr>Furradinho</vt:lpstr>
      <vt:lpstr>Riacho Quente</vt:lpstr>
      <vt:lpstr>Monte Video</vt:lpstr>
      <vt:lpstr>Monte Videu</vt:lpstr>
      <vt:lpstr>Paus Preto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2012-09-13T18:43:16Z</dcterms:created>
  <dcterms:modified xsi:type="dcterms:W3CDTF">2012-10-29T06:40:06Z</dcterms:modified>
</cp:coreProperties>
</file>