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815" windowHeight="7650" activeTab="2"/>
  </bookViews>
  <sheets>
    <sheet name="Patos - Pedrinhas" sheetId="1" r:id="rId1"/>
    <sheet name="Gramas" sheetId="2" r:id="rId2"/>
    <sheet name="Santo Antonio - Salinas" sheetId="3" r:id="rId3"/>
    <sheet name="Taquaril" sheetId="4" r:id="rId4"/>
    <sheet name="Serrinha" sheetId="6" r:id="rId5"/>
    <sheet name="Vila Benbedouro" sheetId="7" r:id="rId6"/>
  </sheets>
  <calcPr calcId="145621"/>
</workbook>
</file>

<file path=xl/calcChain.xml><?xml version="1.0" encoding="utf-8"?>
<calcChain xmlns="http://schemas.openxmlformats.org/spreadsheetml/2006/main">
  <c r="D12" i="7" l="1"/>
  <c r="Z28" i="7"/>
  <c r="AA28" i="7" s="1"/>
  <c r="M19" i="7"/>
  <c r="M18" i="7"/>
  <c r="M17" i="7"/>
  <c r="M16" i="7"/>
  <c r="V8" i="7"/>
  <c r="N8" i="7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G7" i="7" s="1"/>
  <c r="H7" i="7" s="1"/>
  <c r="H8" i="7" s="1"/>
  <c r="N27" i="7" s="1"/>
  <c r="Z37" i="4"/>
  <c r="Z36" i="4"/>
  <c r="AA37" i="4"/>
  <c r="AA39" i="4"/>
  <c r="Z39" i="4" s="1"/>
  <c r="M21" i="7" l="1"/>
  <c r="N30" i="7" s="1"/>
  <c r="N31" i="7" s="1"/>
  <c r="L42" i="7"/>
  <c r="L63" i="7"/>
  <c r="AA30" i="7"/>
  <c r="Z30" i="7" s="1"/>
  <c r="AA31" i="7"/>
  <c r="Z31" i="7" s="1"/>
  <c r="AA29" i="7"/>
  <c r="Z29" i="7" s="1"/>
  <c r="AA38" i="4"/>
  <c r="Z38" i="4" s="1"/>
  <c r="AA40" i="4"/>
  <c r="Z40" i="4" s="1"/>
  <c r="S12" i="7" l="1"/>
  <c r="D11" i="4"/>
  <c r="D11" i="1"/>
  <c r="D11" i="2"/>
  <c r="D12" i="6"/>
  <c r="Z28" i="6"/>
  <c r="AA28" i="6" s="1"/>
  <c r="AA30" i="6" s="1"/>
  <c r="Z30" i="6" s="1"/>
  <c r="M19" i="6"/>
  <c r="M18" i="6"/>
  <c r="M17" i="6"/>
  <c r="M16" i="6"/>
  <c r="V8" i="6"/>
  <c r="N8" i="6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G7" i="6" s="1"/>
  <c r="H7" i="6" s="1"/>
  <c r="H8" i="6" s="1"/>
  <c r="N27" i="6" s="1"/>
  <c r="D12" i="3"/>
  <c r="Z39" i="2"/>
  <c r="Z38" i="2"/>
  <c r="Z37" i="2"/>
  <c r="Z28" i="3"/>
  <c r="AA28" i="3" s="1"/>
  <c r="M21" i="6" l="1"/>
  <c r="N30" i="6" s="1"/>
  <c r="N31" i="6" s="1"/>
  <c r="AA37" i="2"/>
  <c r="L42" i="6"/>
  <c r="L63" i="6"/>
  <c r="AA29" i="6"/>
  <c r="Z29" i="6" s="1"/>
  <c r="AA31" i="6"/>
  <c r="Z31" i="6" s="1"/>
  <c r="AA31" i="3"/>
  <c r="Z31" i="3" s="1"/>
  <c r="AA29" i="3"/>
  <c r="Z29" i="3" s="1"/>
  <c r="AA30" i="3"/>
  <c r="Z30" i="3" s="1"/>
  <c r="AB40" i="2"/>
  <c r="Z42" i="2" s="1"/>
  <c r="AB39" i="2"/>
  <c r="Z41" i="2" s="1"/>
  <c r="AB38" i="2"/>
  <c r="Z40" i="2" s="1"/>
  <c r="S12" i="6" l="1"/>
  <c r="Z37" i="1"/>
  <c r="Z36" i="1"/>
  <c r="Z35" i="1"/>
  <c r="AC33" i="1"/>
  <c r="AA35" i="1" l="1"/>
  <c r="AB38" i="1" s="1"/>
  <c r="Z40" i="1" s="1"/>
  <c r="AB37" i="1" l="1"/>
  <c r="Z39" i="1" s="1"/>
  <c r="AB36" i="1"/>
  <c r="Z38" i="1" s="1"/>
  <c r="M19" i="4" l="1"/>
  <c r="M18" i="4"/>
  <c r="M17" i="4"/>
  <c r="M16" i="4"/>
  <c r="V8" i="4"/>
  <c r="N8" i="4"/>
  <c r="B5" i="4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G7" i="4" s="1"/>
  <c r="H7" i="4" s="1"/>
  <c r="M19" i="3"/>
  <c r="M18" i="3"/>
  <c r="M17" i="3"/>
  <c r="M16" i="3"/>
  <c r="M21" i="3" s="1"/>
  <c r="N30" i="3" s="1"/>
  <c r="V8" i="3"/>
  <c r="N8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G7" i="3" s="1"/>
  <c r="H7" i="3" s="1"/>
  <c r="H8" i="3" s="1"/>
  <c r="N27" i="3" s="1"/>
  <c r="M19" i="2"/>
  <c r="M18" i="2"/>
  <c r="M17" i="2"/>
  <c r="M16" i="2"/>
  <c r="V8" i="2"/>
  <c r="N8" i="2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G7" i="2" s="1"/>
  <c r="H7" i="2" s="1"/>
  <c r="H8" i="2" s="1"/>
  <c r="N27" i="2" s="1"/>
  <c r="M19" i="1"/>
  <c r="M18" i="1"/>
  <c r="M17" i="1"/>
  <c r="M16" i="1"/>
  <c r="V8" i="1"/>
  <c r="N8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G7" i="1" s="1"/>
  <c r="H7" i="1" s="1"/>
  <c r="M21" i="4" l="1"/>
  <c r="N30" i="4" s="1"/>
  <c r="N31" i="4" s="1"/>
  <c r="M21" i="2"/>
  <c r="N30" i="2" s="1"/>
  <c r="S12" i="3"/>
  <c r="M21" i="1"/>
  <c r="N30" i="1" s="1"/>
  <c r="S12" i="2"/>
  <c r="N27" i="4"/>
  <c r="H8" i="4"/>
  <c r="H8" i="1"/>
  <c r="N27" i="1" s="1"/>
  <c r="L42" i="4"/>
  <c r="L63" i="4"/>
  <c r="L42" i="3"/>
  <c r="L63" i="3"/>
  <c r="N31" i="3"/>
  <c r="L42" i="2"/>
  <c r="L63" i="2"/>
  <c r="N31" i="2"/>
  <c r="S12" i="4" l="1"/>
  <c r="S12" i="1"/>
  <c r="L42" i="1"/>
  <c r="N31" i="1"/>
  <c r="L63" i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6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<sst xmlns="http://schemas.openxmlformats.org/spreadsheetml/2006/main" count="728" uniqueCount="103">
  <si>
    <t>Previsão da população</t>
  </si>
  <si>
    <t>Cálculo do Consumo Específico</t>
  </si>
  <si>
    <t>Dimensionamento de adutora de recalque simples</t>
  </si>
  <si>
    <t>Dimensionamento da Bomba</t>
  </si>
  <si>
    <t>Ano</t>
  </si>
  <si>
    <t>População</t>
  </si>
  <si>
    <t>Calculo de perda de carga unitária</t>
  </si>
  <si>
    <t>K1</t>
  </si>
  <si>
    <t>q</t>
  </si>
  <si>
    <t>P</t>
  </si>
  <si>
    <t>Q</t>
  </si>
  <si>
    <t>P = potencia da Bomba</t>
  </si>
  <si>
    <t>J= Perda de carga unitária</t>
  </si>
  <si>
    <t>m/m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</si>
  <si>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</si>
  <si>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</si>
  <si>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m</t>
  </si>
  <si>
    <t>Q = vazão requerida</t>
  </si>
  <si>
    <t>L = Comprimento da adutora</t>
  </si>
  <si>
    <t>Hm = Altura manometrica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</si>
  <si>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</si>
  <si>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p =</t>
  </si>
  <si>
    <t>CV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</si>
  <si>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</si>
  <si>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</si>
  <si>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</si>
  <si>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</si>
  <si>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</si>
  <si>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</si>
  <si>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</si>
  <si>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</si>
  <si>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</si>
  <si>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</si>
  <si>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Q = Vazão (m3/s)</t>
  </si>
  <si>
    <t>C = Coeficiente de rugosidade da tubulação</t>
  </si>
  <si>
    <t>D = diametro da tubulação (m)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</si>
  <si>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</si>
  <si>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</si>
  <si>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</si>
  <si>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</si>
  <si>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</si>
  <si>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</si>
  <si>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</si>
  <si>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</si>
  <si>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</si>
  <si>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</si>
  <si>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</si>
  <si>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</si>
  <si>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</si>
  <si>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INSUMOS</t>
  </si>
  <si>
    <t>Material adutora e distribuição</t>
  </si>
  <si>
    <t>Material</t>
  </si>
  <si>
    <t>Unidade</t>
  </si>
  <si>
    <t>und</t>
  </si>
  <si>
    <t xml:space="preserve">Curva de 90º PBA </t>
  </si>
  <si>
    <t>Curva de 45º PBA</t>
  </si>
  <si>
    <t>Tubo BPA 50 mm classe 12</t>
  </si>
  <si>
    <t>Tubo PVC 32 mm Classe 12</t>
  </si>
  <si>
    <t>Tubo PVC 25 mm Classe 12</t>
  </si>
  <si>
    <t>Flange 50 mm</t>
  </si>
  <si>
    <t>Conexão T PBA 50 mm</t>
  </si>
  <si>
    <t>Adaptador PVC BSA PBA x PTA FOFO 50 mm</t>
  </si>
  <si>
    <t>Bucha c/ redução 50 x 25 PVC</t>
  </si>
  <si>
    <t>Bucha c/ redução 32 x 25 PVC</t>
  </si>
  <si>
    <t>Bomba submersa</t>
  </si>
  <si>
    <t>Caixa de passagem em alvenaria (0,30 X 0,30 X 0,30 m)</t>
  </si>
  <si>
    <t>CAP 50 mm</t>
  </si>
  <si>
    <t>Reservatórios: 1 Caixas d'água de ferrocimento (100 m³)</t>
  </si>
  <si>
    <t>Cimento</t>
  </si>
  <si>
    <t>Sc</t>
  </si>
  <si>
    <t>Areia lavada</t>
  </si>
  <si>
    <t>m³</t>
  </si>
  <si>
    <t>Armação em barra de aço 4,2 mm</t>
  </si>
  <si>
    <t>Kg</t>
  </si>
  <si>
    <t>Q 92 - TELA EM ACO SOLDADA - MALHA 15 x 15 cm - FIO ∅ 4,2 mm</t>
  </si>
  <si>
    <t>m²</t>
  </si>
  <si>
    <t>Tela hexagonal 1/2"-fio 24</t>
  </si>
  <si>
    <t>Arame recozido</t>
  </si>
  <si>
    <t>Cimbramento em pontaletes de madeira</t>
  </si>
  <si>
    <t>SERVIÇOS</t>
  </si>
  <si>
    <t>Assentamento de tubos e conexões de PVC JE DN 50</t>
  </si>
  <si>
    <t>Assentamento de tubos e conexões PVC JS DN 32 mm</t>
  </si>
  <si>
    <t>Assentamento de tubos e conexões PVC JS DN 25 mm</t>
  </si>
  <si>
    <t>Escavação mecânica de valas (solo seco), profundidade até 1,50 m (1x 0,8x0,6) 75%</t>
  </si>
  <si>
    <t>Escavação manual em solo profundidade até 1,50 m (1x 0,8x0,6) 20%</t>
  </si>
  <si>
    <t>Escavação e carga mecânica de valas, rocha branda, à frio</t>
  </si>
  <si>
    <t>Montagem e instalação de poço tubular profundo, diâmetro da tubulação de extração de 4", profundidade de instalação da bomba entre 60 m a 120 m</t>
  </si>
  <si>
    <t xml:space="preserve">Pedreiro </t>
  </si>
  <si>
    <t>h</t>
  </si>
  <si>
    <t>Armador</t>
  </si>
  <si>
    <t>Servente</t>
  </si>
  <si>
    <t>Bucha c/ redução 50 x 32 PVC</t>
  </si>
  <si>
    <t>Reservatórios: 2 Caixas d'água de ferrocimento (100 m³)</t>
  </si>
  <si>
    <t>Reservatórios:  Caixas d'água de ferrocimento (100 m³)</t>
  </si>
  <si>
    <t>Gramas</t>
  </si>
  <si>
    <t>Santo Antonio - Salinas</t>
  </si>
  <si>
    <t>Serrinha</t>
  </si>
  <si>
    <t>Patos - Pedrinhas</t>
  </si>
  <si>
    <t>Taquaril</t>
  </si>
  <si>
    <t>Reservatórios: 1 Caixas d'água de ferrocimento(50 m³)</t>
  </si>
  <si>
    <t>Escavação e carga mecânica de valas, rocha branda, à frio 5%</t>
  </si>
  <si>
    <t>Assentamento de tubos e conexões PVC JS DN 25 mm - 32 mm</t>
  </si>
  <si>
    <t>Vila Bebedouro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</si>
</sst>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" fontId="9" fillId="0" borderId="0"/>
  </cellStyleXfs>
  <cellXfs count="71">
    <xf numFmtId="0" fontId="0" fillId="0" borderId="0" xfId="0"/>
    <xf numFmtId="0" fontId="1" fillId="0" borderId="2" xfId="0" applyFont="1" applyBorder="1" applyAlignment="1"/>
    <xf numFmtId="0" fontId="0" fillId="0" borderId="4" xfId="0" applyBorder="1"/>
    <xf numFmtId="0" fontId="0" fillId="0" borderId="0" xfId="0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0" xfId="0" applyNumberFormat="1" applyFill="1"/>
    <xf numFmtId="0" fontId="0" fillId="0" borderId="0" xfId="0" applyFill="1"/>
    <xf numFmtId="165" fontId="0" fillId="0" borderId="0" xfId="0" applyNumberFormat="1"/>
    <xf numFmtId="0" fontId="0" fillId="2" borderId="0" xfId="0" applyFill="1"/>
    <xf numFmtId="9" fontId="0" fillId="0" borderId="0" xfId="0" applyNumberFormat="1"/>
    <xf numFmtId="0" fontId="1" fillId="0" borderId="0" xfId="0" applyFont="1" applyAlignmen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5" xfId="0" applyBorder="1"/>
    <xf numFmtId="164" fontId="0" fillId="2" borderId="0" xfId="0" applyNumberFormat="1" applyFill="1" applyBorder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3" fontId="10" fillId="0" borderId="0" xfId="1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059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822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34050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24600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67425" y="68865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0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34050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896725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9525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omments" Target="../comments2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mments" Target="../comments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omments" Target="../comments4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omments" Target="../comments5.xml"/><Relationship Id="rId4" Type="http://schemas.openxmlformats.org/officeDocument/2006/relationships/image" Target="../media/image1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omments" Target="../comments6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opLeftCell="O22" workbookViewId="0">
      <selection activeCell="Z21" sqref="Z21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6.140625" customWidth="1"/>
    <col min="26" max="26" width="11.28515625" customWidth="1"/>
    <col min="27" max="27" width="9.28515625" hidden="1" customWidth="1"/>
    <col min="28" max="29" width="9.140625" hidden="1" customWidth="1"/>
  </cols>
  <sheetData>
    <row r="1" spans="1:30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26" t="s">
        <v>49</v>
      </c>
      <c r="Y1" s="26"/>
      <c r="Z1" s="26"/>
      <c r="AA1" s="25"/>
      <c r="AB1" s="25"/>
      <c r="AC1" s="25"/>
      <c r="AD1" s="25"/>
    </row>
    <row r="2" spans="1:30" x14ac:dyDescent="0.25">
      <c r="A2" s="69" t="s">
        <v>97</v>
      </c>
      <c r="B2" s="64"/>
      <c r="X2" s="25"/>
      <c r="Y2" s="25"/>
      <c r="Z2" s="25"/>
      <c r="AA2" s="25"/>
      <c r="AB2" s="25"/>
      <c r="AC2" s="25"/>
      <c r="AD2" s="25"/>
    </row>
    <row r="3" spans="1:30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27" t="s">
        <v>50</v>
      </c>
      <c r="Y3" s="25"/>
      <c r="Z3" s="25"/>
      <c r="AA3" s="25"/>
      <c r="AB3" s="25"/>
      <c r="AC3" s="25"/>
      <c r="AD3" s="25"/>
    </row>
    <row r="4" spans="1:30" x14ac:dyDescent="0.25">
      <c r="A4" s="2">
        <v>0</v>
      </c>
      <c r="B4" s="4">
        <v>110</v>
      </c>
      <c r="X4" s="25"/>
      <c r="Y4" s="25"/>
      <c r="Z4" s="25"/>
      <c r="AA4" s="25"/>
      <c r="AB4" s="25"/>
      <c r="AC4" s="25"/>
      <c r="AD4" s="25"/>
    </row>
    <row r="5" spans="1:30" x14ac:dyDescent="0.25">
      <c r="A5" s="2">
        <v>1</v>
      </c>
      <c r="B5" s="5">
        <f>B4*1.05</f>
        <v>115.5</v>
      </c>
      <c r="X5" s="25" t="s">
        <v>51</v>
      </c>
      <c r="Y5" s="25" t="s">
        <v>52</v>
      </c>
      <c r="Z5" s="25" t="s">
        <v>25</v>
      </c>
      <c r="AA5" s="25"/>
      <c r="AB5" s="25"/>
      <c r="AC5" s="25"/>
      <c r="AD5" s="25"/>
    </row>
    <row r="6" spans="1:30" x14ac:dyDescent="0.25">
      <c r="A6" s="2">
        <v>2</v>
      </c>
      <c r="B6" s="5">
        <f t="shared" ref="B6:B24" si="0">B5*1.05</f>
        <v>121.27500000000001</v>
      </c>
      <c r="E6" t="s">
        <v>7</v>
      </c>
      <c r="F6" t="s">
        <v>8</v>
      </c>
      <c r="G6" t="s">
        <v>9</v>
      </c>
      <c r="H6" t="s">
        <v>10</v>
      </c>
      <c r="X6" s="25"/>
      <c r="Y6" s="25"/>
      <c r="Z6" s="25"/>
      <c r="AA6" s="25"/>
      <c r="AB6" s="25"/>
      <c r="AC6" s="25"/>
      <c r="AD6" s="25"/>
    </row>
    <row r="7" spans="1:30" x14ac:dyDescent="0.25">
      <c r="A7" s="2">
        <v>3</v>
      </c>
      <c r="B7" s="5">
        <f t="shared" si="0"/>
        <v>127.33875</v>
      </c>
      <c r="E7">
        <v>1.2</v>
      </c>
      <c r="F7">
        <v>200</v>
      </c>
      <c r="G7" s="6">
        <f>B24</f>
        <v>291.86274756588654</v>
      </c>
      <c r="H7" s="7">
        <f>(E7*F7*G7)/86400</f>
        <v>0.81072985434968481</v>
      </c>
      <c r="R7" s="64" t="s">
        <v>11</v>
      </c>
      <c r="S7" s="64"/>
      <c r="T7" s="64"/>
      <c r="X7" s="25" t="s">
        <v>28</v>
      </c>
      <c r="Y7" s="25" t="s">
        <v>53</v>
      </c>
      <c r="Z7" s="25">
        <v>3</v>
      </c>
      <c r="AA7" s="25"/>
      <c r="AB7" s="25"/>
      <c r="AC7" s="25"/>
      <c r="AD7" s="25"/>
    </row>
    <row r="8" spans="1:30" x14ac:dyDescent="0.25">
      <c r="A8" s="2">
        <v>4</v>
      </c>
      <c r="B8" s="5">
        <f t="shared" si="0"/>
        <v>133.70568750000001</v>
      </c>
      <c r="H8">
        <f>H7*1.75</f>
        <v>1.4187772451119485</v>
      </c>
      <c r="J8" s="64" t="s">
        <v>12</v>
      </c>
      <c r="K8" s="64"/>
      <c r="L8" s="64"/>
      <c r="N8" s="8">
        <f>N9/N10</f>
        <v>4.8543689320388345E-3</v>
      </c>
      <c r="O8" t="s">
        <v>13</v>
      </c>
      <c r="R8" s="64" t="s">
        <v>14</v>
      </c>
      <c r="S8" s="64"/>
      <c r="T8" s="64"/>
      <c r="U8" s="64"/>
      <c r="V8">
        <f xml:space="preserve"> 1000</f>
        <v>1000</v>
      </c>
      <c r="X8" s="25" t="s">
        <v>29</v>
      </c>
      <c r="Y8" s="25" t="s">
        <v>53</v>
      </c>
      <c r="Z8" s="25">
        <v>1</v>
      </c>
      <c r="AA8" s="25"/>
      <c r="AB8" s="25"/>
      <c r="AC8" s="25"/>
      <c r="AD8" s="25"/>
    </row>
    <row r="9" spans="1:30" x14ac:dyDescent="0.25">
      <c r="A9" s="2">
        <v>5</v>
      </c>
      <c r="B9" s="5">
        <f t="shared" si="0"/>
        <v>140.39097187500002</v>
      </c>
      <c r="J9" s="64" t="s">
        <v>15</v>
      </c>
      <c r="K9" s="64"/>
      <c r="L9" s="64"/>
      <c r="M9" s="64"/>
      <c r="N9" s="9">
        <v>8</v>
      </c>
      <c r="O9" t="s">
        <v>16</v>
      </c>
      <c r="R9" s="64" t="s">
        <v>17</v>
      </c>
      <c r="S9" s="64"/>
      <c r="X9" s="25" t="s">
        <v>54</v>
      </c>
      <c r="Y9" s="25" t="s">
        <v>53</v>
      </c>
      <c r="Z9" s="25">
        <v>5</v>
      </c>
      <c r="AA9" s="25"/>
      <c r="AB9" s="25"/>
      <c r="AC9" s="25"/>
      <c r="AD9" s="25"/>
    </row>
    <row r="10" spans="1:30" x14ac:dyDescent="0.25">
      <c r="A10" s="2">
        <v>6</v>
      </c>
      <c r="B10" s="5">
        <f t="shared" si="0"/>
        <v>147.41052046875004</v>
      </c>
      <c r="J10" s="64" t="s">
        <v>18</v>
      </c>
      <c r="K10" s="64"/>
      <c r="L10" s="64"/>
      <c r="N10" s="9">
        <v>1648</v>
      </c>
      <c r="O10" t="s">
        <v>16</v>
      </c>
      <c r="R10" s="64" t="s">
        <v>19</v>
      </c>
      <c r="S10" s="64"/>
      <c r="T10" s="64"/>
      <c r="X10" s="25" t="s">
        <v>55</v>
      </c>
      <c r="Y10" s="25" t="s">
        <v>53</v>
      </c>
      <c r="Z10" s="25">
        <v>12</v>
      </c>
      <c r="AA10" s="25"/>
      <c r="AB10" s="25"/>
      <c r="AC10" s="25"/>
      <c r="AD10" s="25"/>
    </row>
    <row r="11" spans="1:30" x14ac:dyDescent="0.25">
      <c r="A11" s="2">
        <v>7</v>
      </c>
      <c r="B11" s="5">
        <f t="shared" si="0"/>
        <v>154.78104649218756</v>
      </c>
      <c r="D11">
        <f>22*5</f>
        <v>110</v>
      </c>
      <c r="R11" s="61" t="s">
        <v>20</v>
      </c>
      <c r="S11" s="61"/>
      <c r="T11" s="61"/>
      <c r="V11" s="10">
        <v>0.7</v>
      </c>
      <c r="X11" s="25" t="s">
        <v>56</v>
      </c>
      <c r="Y11" s="25" t="s">
        <v>16</v>
      </c>
      <c r="Z11" s="25">
        <v>4155</v>
      </c>
      <c r="AA11" s="25"/>
      <c r="AB11" s="25"/>
      <c r="AC11" s="25"/>
      <c r="AD11" s="25"/>
    </row>
    <row r="12" spans="1:30" x14ac:dyDescent="0.25">
      <c r="A12" s="2">
        <v>8</v>
      </c>
      <c r="B12" s="5">
        <f t="shared" si="0"/>
        <v>162.52009881679695</v>
      </c>
      <c r="R12" t="s">
        <v>21</v>
      </c>
      <c r="S12">
        <f>V8*N27*(N9+M21)/(75*0.7)</f>
        <v>0.57291576374044406</v>
      </c>
      <c r="T12" t="s">
        <v>22</v>
      </c>
      <c r="X12" s="30" t="s">
        <v>57</v>
      </c>
      <c r="Y12" s="25" t="s">
        <v>16</v>
      </c>
      <c r="Z12" s="25">
        <v>510</v>
      </c>
      <c r="AA12" s="25"/>
      <c r="AB12" s="25"/>
      <c r="AC12" s="25"/>
      <c r="AD12" s="25"/>
    </row>
    <row r="13" spans="1:30" ht="15.75" x14ac:dyDescent="0.25">
      <c r="A13" s="2">
        <v>9</v>
      </c>
      <c r="B13" s="5">
        <f t="shared" si="0"/>
        <v>170.64610375763681</v>
      </c>
      <c r="J13" s="62" t="s">
        <v>23</v>
      </c>
      <c r="K13" s="62"/>
      <c r="L13" s="62"/>
      <c r="M13" s="62"/>
      <c r="N13" s="62"/>
      <c r="O13" s="62"/>
      <c r="P13" s="62"/>
      <c r="Q13" s="11"/>
      <c r="X13" s="30" t="s">
        <v>58</v>
      </c>
      <c r="Y13" s="25" t="s">
        <v>16</v>
      </c>
      <c r="Z13" s="25">
        <v>812</v>
      </c>
      <c r="AA13" s="25"/>
      <c r="AB13" s="25"/>
      <c r="AC13" s="25"/>
      <c r="AD13" s="25"/>
    </row>
    <row r="14" spans="1:30" x14ac:dyDescent="0.25">
      <c r="A14" s="2">
        <v>10</v>
      </c>
      <c r="B14" s="5">
        <f t="shared" si="0"/>
        <v>179.17840894551867</v>
      </c>
      <c r="X14" s="31" t="s">
        <v>59</v>
      </c>
      <c r="Y14" s="25" t="s">
        <v>53</v>
      </c>
      <c r="Z14" s="32">
        <v>1</v>
      </c>
      <c r="AA14" s="25"/>
      <c r="AB14" s="25"/>
      <c r="AC14" s="25"/>
      <c r="AD14" s="25"/>
    </row>
    <row r="15" spans="1:30" ht="15" customHeight="1" x14ac:dyDescent="0.25">
      <c r="A15" s="2">
        <v>11</v>
      </c>
      <c r="B15" s="5">
        <f t="shared" si="0"/>
        <v>188.13732939279461</v>
      </c>
      <c r="J15" s="12" t="s">
        <v>24</v>
      </c>
      <c r="K15" s="12" t="s">
        <v>25</v>
      </c>
      <c r="L15" s="12" t="s">
        <v>26</v>
      </c>
      <c r="M15" s="13" t="s">
        <v>27</v>
      </c>
      <c r="X15" s="33" t="s">
        <v>60</v>
      </c>
      <c r="Y15" s="25" t="s">
        <v>53</v>
      </c>
      <c r="Z15" s="32">
        <v>23</v>
      </c>
      <c r="AA15" s="25"/>
      <c r="AB15" s="25"/>
      <c r="AC15" s="25"/>
      <c r="AD15" s="25"/>
    </row>
    <row r="16" spans="1:30" ht="15" customHeight="1" x14ac:dyDescent="0.25">
      <c r="A16" s="2">
        <v>12</v>
      </c>
      <c r="B16" s="5">
        <f t="shared" si="0"/>
        <v>197.54419586243435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3" t="s">
        <v>61</v>
      </c>
      <c r="Y16" s="25" t="s">
        <v>53</v>
      </c>
      <c r="Z16" s="25">
        <v>22</v>
      </c>
      <c r="AA16" s="25"/>
      <c r="AB16" s="25"/>
      <c r="AC16" s="25"/>
      <c r="AD16" s="25"/>
    </row>
    <row r="17" spans="1:30" x14ac:dyDescent="0.25">
      <c r="A17" s="2">
        <v>13</v>
      </c>
      <c r="B17" s="5">
        <f t="shared" si="0"/>
        <v>207.42140565555607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3" t="s">
        <v>91</v>
      </c>
      <c r="Y17" s="25" t="s">
        <v>53</v>
      </c>
      <c r="Z17">
        <v>2</v>
      </c>
      <c r="AD17" s="25"/>
    </row>
    <row r="18" spans="1:30" x14ac:dyDescent="0.25">
      <c r="A18" s="2">
        <v>14</v>
      </c>
      <c r="B18" s="5">
        <f t="shared" si="0"/>
        <v>217.79247593833389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3" t="s">
        <v>62</v>
      </c>
      <c r="Y18" s="25" t="s">
        <v>53</v>
      </c>
      <c r="Z18" s="32">
        <v>20</v>
      </c>
      <c r="AA18" s="25"/>
      <c r="AB18" s="25"/>
      <c r="AC18" s="25"/>
      <c r="AD18" s="25"/>
    </row>
    <row r="19" spans="1:30" x14ac:dyDescent="0.25">
      <c r="A19" s="2">
        <v>15</v>
      </c>
      <c r="B19" s="5">
        <f t="shared" si="0"/>
        <v>228.6820997352506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1" t="s">
        <v>63</v>
      </c>
      <c r="Y19" s="25" t="s">
        <v>53</v>
      </c>
      <c r="Z19" s="32">
        <v>2</v>
      </c>
      <c r="AA19" s="25"/>
      <c r="AB19" s="25"/>
      <c r="AC19" s="25"/>
      <c r="AD19" s="25"/>
    </row>
    <row r="20" spans="1:30" x14ac:dyDescent="0.25">
      <c r="A20" s="2">
        <v>16</v>
      </c>
      <c r="B20" s="5">
        <f t="shared" si="0"/>
        <v>240.11620472201315</v>
      </c>
      <c r="J20" s="15"/>
      <c r="K20" s="16"/>
      <c r="L20" s="14"/>
      <c r="M20" s="14"/>
      <c r="X20" s="34" t="s">
        <v>64</v>
      </c>
      <c r="Y20" s="25" t="s">
        <v>53</v>
      </c>
      <c r="Z20" s="35">
        <v>1</v>
      </c>
      <c r="AA20" s="25"/>
      <c r="AB20" s="25"/>
      <c r="AC20" s="25"/>
      <c r="AD20" s="25"/>
    </row>
    <row r="21" spans="1:30" x14ac:dyDescent="0.25">
      <c r="A21" s="2">
        <v>17</v>
      </c>
      <c r="B21" s="5">
        <f t="shared" si="0"/>
        <v>252.12201495811382</v>
      </c>
      <c r="L21" s="17" t="s">
        <v>32</v>
      </c>
      <c r="M21">
        <f>SUM(M16:M20)</f>
        <v>13.200000000000001</v>
      </c>
      <c r="X21" s="25" t="s">
        <v>65</v>
      </c>
      <c r="Y21" s="25" t="s">
        <v>53</v>
      </c>
      <c r="Z21" s="35">
        <v>2</v>
      </c>
      <c r="AA21" s="25"/>
      <c r="AB21" s="25"/>
      <c r="AC21" s="25"/>
      <c r="AD21" s="25"/>
    </row>
    <row r="22" spans="1:30" x14ac:dyDescent="0.25">
      <c r="A22" s="2">
        <v>18</v>
      </c>
      <c r="B22" s="5">
        <f t="shared" si="0"/>
        <v>264.72811570601954</v>
      </c>
      <c r="X22" s="25" t="s">
        <v>66</v>
      </c>
      <c r="Y22" s="25" t="s">
        <v>53</v>
      </c>
      <c r="Z22" s="35">
        <v>3</v>
      </c>
      <c r="AA22" s="25"/>
      <c r="AB22" s="25"/>
      <c r="AC22" s="25"/>
      <c r="AD22" s="25"/>
    </row>
    <row r="23" spans="1:30" ht="15.75" x14ac:dyDescent="0.25">
      <c r="A23" s="2">
        <v>19</v>
      </c>
      <c r="B23" s="5">
        <f t="shared" si="0"/>
        <v>277.96452149132051</v>
      </c>
      <c r="X23" s="27" t="s">
        <v>67</v>
      </c>
      <c r="Y23" s="27"/>
      <c r="Z23" s="27"/>
      <c r="AA23" s="25"/>
      <c r="AB23" s="25"/>
      <c r="AC23" s="25"/>
      <c r="AD23" s="25"/>
    </row>
    <row r="24" spans="1:30" x14ac:dyDescent="0.25">
      <c r="A24" s="18">
        <v>20</v>
      </c>
      <c r="B24" s="19">
        <f t="shared" si="0"/>
        <v>291.86274756588654</v>
      </c>
      <c r="X24" s="25" t="s">
        <v>51</v>
      </c>
      <c r="Y24" s="25" t="s">
        <v>52</v>
      </c>
      <c r="Z24" s="25" t="s">
        <v>25</v>
      </c>
      <c r="AA24" s="25"/>
      <c r="AB24" s="25"/>
      <c r="AC24" s="25"/>
      <c r="AD24" s="25"/>
    </row>
    <row r="25" spans="1:30" x14ac:dyDescent="0.25">
      <c r="X25" s="25"/>
      <c r="Y25" s="25"/>
      <c r="Z25" s="25"/>
      <c r="AA25" s="25"/>
      <c r="AB25" s="25"/>
      <c r="AC25" s="25"/>
      <c r="AD25" s="25"/>
    </row>
    <row r="26" spans="1:30" x14ac:dyDescent="0.25">
      <c r="X26" s="25" t="s">
        <v>68</v>
      </c>
      <c r="Y26" s="25" t="s">
        <v>69</v>
      </c>
      <c r="Z26" s="25">
        <v>90</v>
      </c>
      <c r="AA26" s="25"/>
      <c r="AB26" s="25"/>
      <c r="AC26" s="25"/>
      <c r="AD26" s="25"/>
    </row>
    <row r="27" spans="1:30" x14ac:dyDescent="0.25">
      <c r="J27" t="s">
        <v>33</v>
      </c>
      <c r="N27" s="7">
        <f>H8/1000</f>
        <v>1.4187772451119485E-3</v>
      </c>
      <c r="X27" s="25" t="s">
        <v>70</v>
      </c>
      <c r="Y27" s="25" t="s">
        <v>71</v>
      </c>
      <c r="Z27" s="25">
        <v>8</v>
      </c>
      <c r="AA27" s="25"/>
      <c r="AB27" s="25"/>
      <c r="AC27" s="25"/>
      <c r="AD27" s="25"/>
    </row>
    <row r="28" spans="1:30" x14ac:dyDescent="0.25">
      <c r="J28" s="63" t="s">
        <v>34</v>
      </c>
      <c r="K28" s="63"/>
      <c r="L28" s="63"/>
      <c r="N28" s="7">
        <v>140</v>
      </c>
      <c r="X28" s="25" t="s">
        <v>72</v>
      </c>
      <c r="Y28" s="25" t="s">
        <v>73</v>
      </c>
      <c r="Z28" s="25">
        <v>380</v>
      </c>
      <c r="AA28" s="25"/>
      <c r="AB28" s="25"/>
      <c r="AC28" s="25"/>
      <c r="AD28" s="25"/>
    </row>
    <row r="29" spans="1:30" x14ac:dyDescent="0.25">
      <c r="J29" t="s">
        <v>35</v>
      </c>
      <c r="N29">
        <v>0.05</v>
      </c>
      <c r="X29" s="25" t="s">
        <v>74</v>
      </c>
      <c r="Y29" s="25" t="s">
        <v>75</v>
      </c>
      <c r="Z29" s="25">
        <v>450</v>
      </c>
      <c r="AA29" s="25"/>
      <c r="AB29" s="25"/>
      <c r="AC29" s="25"/>
      <c r="AD29" s="25"/>
    </row>
    <row r="30" spans="1:30" x14ac:dyDescent="0.25">
      <c r="J30" s="64" t="s">
        <v>36</v>
      </c>
      <c r="K30" s="64"/>
      <c r="N30">
        <f>M21</f>
        <v>13.200000000000001</v>
      </c>
      <c r="X30" s="25" t="s">
        <v>76</v>
      </c>
      <c r="Y30" s="25" t="s">
        <v>75</v>
      </c>
      <c r="Z30" s="25">
        <v>450</v>
      </c>
      <c r="AA30" s="25"/>
      <c r="AB30" s="25"/>
      <c r="AC30" s="25"/>
      <c r="AD30" s="25"/>
    </row>
    <row r="31" spans="1:30" x14ac:dyDescent="0.25">
      <c r="J31" s="64" t="s">
        <v>37</v>
      </c>
      <c r="K31" s="64"/>
      <c r="N31">
        <f>10.643*((N27/N28)^1.852)*(N30/(N29^4.87))</f>
        <v>0.17154184444671444</v>
      </c>
      <c r="X31" s="25" t="s">
        <v>77</v>
      </c>
      <c r="Y31" s="25" t="s">
        <v>73</v>
      </c>
      <c r="Z31" s="25">
        <v>10</v>
      </c>
      <c r="AA31" s="25"/>
      <c r="AB31" s="25"/>
      <c r="AC31" s="25"/>
      <c r="AD31" s="25"/>
    </row>
    <row r="32" spans="1:30" x14ac:dyDescent="0.25">
      <c r="X32" s="25" t="s">
        <v>78</v>
      </c>
      <c r="Y32" s="25" t="s">
        <v>71</v>
      </c>
      <c r="Z32" s="25">
        <v>140</v>
      </c>
      <c r="AA32" s="25"/>
      <c r="AB32" s="25"/>
      <c r="AC32" s="25"/>
      <c r="AD32" s="25"/>
    </row>
    <row r="33" spans="10:30" ht="15.75" x14ac:dyDescent="0.25">
      <c r="X33" s="26" t="s">
        <v>79</v>
      </c>
      <c r="Y33" s="36"/>
      <c r="Z33" s="36"/>
      <c r="AA33" s="25"/>
      <c r="AB33" s="25"/>
      <c r="AC33" s="25">
        <f>0.8*0.6</f>
        <v>0.48</v>
      </c>
      <c r="AD33" s="25"/>
    </row>
    <row r="34" spans="10:30" ht="15.75" x14ac:dyDescent="0.25">
      <c r="J34" s="62" t="s">
        <v>38</v>
      </c>
      <c r="K34" s="62"/>
      <c r="L34" s="62"/>
      <c r="X34" s="25"/>
      <c r="Y34" s="25" t="s">
        <v>52</v>
      </c>
      <c r="Z34" s="25" t="s">
        <v>25</v>
      </c>
      <c r="AA34" s="25"/>
      <c r="AB34" s="25"/>
      <c r="AC34" s="25"/>
      <c r="AD34" s="25"/>
    </row>
    <row r="35" spans="10:30" x14ac:dyDescent="0.25">
      <c r="X35" s="37" t="s">
        <v>80</v>
      </c>
      <c r="Y35" s="25" t="s">
        <v>16</v>
      </c>
      <c r="Z35" s="25">
        <f>Z11</f>
        <v>4155</v>
      </c>
      <c r="AA35" s="25">
        <f>SUM(Z35:Z37)</f>
        <v>5477</v>
      </c>
      <c r="AB35" s="25"/>
      <c r="AC35" s="25"/>
      <c r="AD35" s="25"/>
    </row>
    <row r="36" spans="10:30" x14ac:dyDescent="0.25">
      <c r="X36" s="38" t="s">
        <v>81</v>
      </c>
      <c r="Y36" s="25" t="s">
        <v>16</v>
      </c>
      <c r="Z36" s="25">
        <f>Z12</f>
        <v>510</v>
      </c>
      <c r="AA36" s="25"/>
      <c r="AB36" s="25">
        <f>0.75*AA35</f>
        <v>4107.75</v>
      </c>
      <c r="AC36" s="25"/>
      <c r="AD36" s="25"/>
    </row>
    <row r="37" spans="10:30" x14ac:dyDescent="0.25">
      <c r="X37" s="38" t="s">
        <v>82</v>
      </c>
      <c r="Y37" s="25" t="s">
        <v>16</v>
      </c>
      <c r="Z37" s="25">
        <f>Z13</f>
        <v>812</v>
      </c>
      <c r="AA37" s="25"/>
      <c r="AB37" s="25">
        <f>0.2*AA35</f>
        <v>1095.4000000000001</v>
      </c>
      <c r="AC37" s="25"/>
      <c r="AD37" s="25"/>
    </row>
    <row r="38" spans="10:30" x14ac:dyDescent="0.25">
      <c r="X38" s="39" t="s">
        <v>83</v>
      </c>
      <c r="Y38" s="39" t="s">
        <v>71</v>
      </c>
      <c r="Z38" s="25">
        <f>AB36*AC33</f>
        <v>1971.72</v>
      </c>
      <c r="AA38" s="25"/>
      <c r="AB38" s="25">
        <f>0.05*AA35</f>
        <v>273.85000000000002</v>
      </c>
      <c r="AC38" s="25"/>
      <c r="AD38" s="25"/>
    </row>
    <row r="39" spans="10:30" x14ac:dyDescent="0.25">
      <c r="X39" s="25" t="s">
        <v>84</v>
      </c>
      <c r="Y39" s="39" t="s">
        <v>71</v>
      </c>
      <c r="Z39" s="25">
        <f>AB37*AC33</f>
        <v>525.79200000000003</v>
      </c>
      <c r="AA39" s="25"/>
      <c r="AB39" s="25"/>
      <c r="AC39" s="25"/>
      <c r="AD39" s="25"/>
    </row>
    <row r="40" spans="10:30" x14ac:dyDescent="0.25">
      <c r="X40" s="25" t="s">
        <v>85</v>
      </c>
      <c r="Y40" s="39" t="s">
        <v>71</v>
      </c>
      <c r="Z40" s="25">
        <f>AB38*AC33</f>
        <v>131.44800000000001</v>
      </c>
      <c r="AA40" s="25"/>
      <c r="AB40" s="25"/>
      <c r="AC40" s="25"/>
      <c r="AD40" s="25"/>
    </row>
    <row r="41" spans="10:30" ht="30" x14ac:dyDescent="0.25">
      <c r="X41" s="40" t="s">
        <v>86</v>
      </c>
      <c r="Y41" s="25" t="s">
        <v>53</v>
      </c>
      <c r="Z41" s="25">
        <v>1</v>
      </c>
      <c r="AA41" s="25"/>
      <c r="AB41" s="25"/>
      <c r="AC41" s="25"/>
      <c r="AD41" s="25"/>
    </row>
    <row r="42" spans="10:30" x14ac:dyDescent="0.25">
      <c r="K42" t="s">
        <v>39</v>
      </c>
      <c r="L42">
        <f>((10.643*((N27/N28)^1.852))/N8)^(1/4.87)</f>
        <v>6.1204857380191852E-2</v>
      </c>
      <c r="M42" t="s">
        <v>16</v>
      </c>
      <c r="X42" s="25" t="s">
        <v>87</v>
      </c>
      <c r="Y42" s="25" t="s">
        <v>88</v>
      </c>
      <c r="Z42" s="25">
        <v>300</v>
      </c>
      <c r="AA42" s="25"/>
      <c r="AB42" s="25"/>
      <c r="AC42" s="25"/>
      <c r="AD42" s="25"/>
    </row>
    <row r="43" spans="10:30" x14ac:dyDescent="0.25">
      <c r="X43" s="25" t="s">
        <v>89</v>
      </c>
      <c r="Y43" s="25" t="s">
        <v>88</v>
      </c>
      <c r="Z43" s="25">
        <v>90</v>
      </c>
      <c r="AA43" s="25"/>
      <c r="AB43" s="25"/>
      <c r="AC43" s="25"/>
      <c r="AD43" s="25"/>
    </row>
    <row r="44" spans="10:30" x14ac:dyDescent="0.25">
      <c r="X44" s="25" t="s">
        <v>90</v>
      </c>
      <c r="Y44" s="25" t="s">
        <v>88</v>
      </c>
      <c r="Z44" s="25">
        <v>400</v>
      </c>
      <c r="AA44" s="25"/>
      <c r="AB44" s="25"/>
      <c r="AC44" s="25"/>
    </row>
    <row r="45" spans="10:30" x14ac:dyDescent="0.25">
      <c r="J45" s="57" t="s">
        <v>40</v>
      </c>
      <c r="K45" s="57"/>
      <c r="L45" s="57"/>
      <c r="M45" s="57"/>
      <c r="N45" s="57"/>
    </row>
    <row r="46" spans="10:30" x14ac:dyDescent="0.25">
      <c r="J46" s="57"/>
      <c r="K46" s="57"/>
      <c r="L46" s="57"/>
      <c r="M46" s="57"/>
      <c r="N46" s="57"/>
    </row>
    <row r="47" spans="10:30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3.8008510834509561E-2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171450</xdr:rowOff>
              </to>
            </anchor>
          </objectPr>
        </oleObject>
      </mc:Choice>
      <mc:Fallback>
        <oleObject progId="Equation.3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opLeftCell="P19" workbookViewId="0">
      <selection activeCell="X24" sqref="X24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5.7109375" customWidth="1"/>
  </cols>
  <sheetData>
    <row r="1" spans="1:30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62" t="s">
        <v>49</v>
      </c>
      <c r="Y1" s="62"/>
      <c r="Z1" s="62"/>
      <c r="AA1" s="45"/>
      <c r="AB1" s="45"/>
      <c r="AC1" s="45"/>
      <c r="AD1" s="45"/>
    </row>
    <row r="2" spans="1:30" x14ac:dyDescent="0.25">
      <c r="A2" s="69" t="s">
        <v>94</v>
      </c>
      <c r="B2" s="64"/>
      <c r="X2" s="45"/>
      <c r="Y2" s="45"/>
      <c r="Z2" s="45"/>
      <c r="AA2" s="45"/>
      <c r="AB2" s="45"/>
      <c r="AC2" s="45"/>
      <c r="AD2" s="45"/>
    </row>
    <row r="3" spans="1:30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47" t="s">
        <v>50</v>
      </c>
      <c r="Y3" s="45"/>
      <c r="Z3" s="45"/>
      <c r="AA3" s="45"/>
      <c r="AB3" s="45"/>
      <c r="AC3" s="45"/>
      <c r="AD3" s="45"/>
    </row>
    <row r="4" spans="1:30" x14ac:dyDescent="0.25">
      <c r="A4" s="2">
        <v>0</v>
      </c>
      <c r="B4" s="4">
        <v>105</v>
      </c>
      <c r="X4" s="45"/>
      <c r="Y4" s="45"/>
      <c r="Z4" s="45"/>
      <c r="AA4" s="45"/>
      <c r="AB4" s="45"/>
      <c r="AC4" s="45"/>
      <c r="AD4" s="45"/>
    </row>
    <row r="5" spans="1:30" x14ac:dyDescent="0.25">
      <c r="A5" s="2">
        <v>1</v>
      </c>
      <c r="B5" s="5">
        <f>B4*1.05</f>
        <v>110.25</v>
      </c>
      <c r="X5" s="45" t="s">
        <v>51</v>
      </c>
      <c r="Y5" s="45" t="s">
        <v>52</v>
      </c>
      <c r="Z5" s="45" t="s">
        <v>25</v>
      </c>
      <c r="AA5" s="45"/>
      <c r="AB5" s="45"/>
      <c r="AC5" s="45"/>
      <c r="AD5" s="45"/>
    </row>
    <row r="6" spans="1:30" x14ac:dyDescent="0.25">
      <c r="A6" s="2">
        <v>2</v>
      </c>
      <c r="B6" s="5">
        <f t="shared" ref="B6:B24" si="0">B5*1.05</f>
        <v>115.7625</v>
      </c>
      <c r="E6" t="s">
        <v>7</v>
      </c>
      <c r="F6" t="s">
        <v>8</v>
      </c>
      <c r="G6" t="s">
        <v>9</v>
      </c>
      <c r="H6" t="s">
        <v>10</v>
      </c>
      <c r="X6" s="45"/>
      <c r="Y6" s="45"/>
      <c r="Z6" s="45"/>
      <c r="AA6" s="45"/>
      <c r="AB6" s="45"/>
      <c r="AC6" s="45"/>
      <c r="AD6" s="45"/>
    </row>
    <row r="7" spans="1:30" x14ac:dyDescent="0.25">
      <c r="A7" s="2">
        <v>3</v>
      </c>
      <c r="B7" s="5">
        <f t="shared" si="0"/>
        <v>121.55062500000001</v>
      </c>
      <c r="E7">
        <v>1.2</v>
      </c>
      <c r="F7">
        <v>200</v>
      </c>
      <c r="G7" s="6">
        <f>B24</f>
        <v>278.5962590401644</v>
      </c>
      <c r="H7" s="7">
        <f>(E7*F7*G7)/86400</f>
        <v>0.77387849733378999</v>
      </c>
      <c r="R7" s="64" t="s">
        <v>11</v>
      </c>
      <c r="S7" s="64"/>
      <c r="T7" s="64"/>
      <c r="X7" s="45" t="s">
        <v>28</v>
      </c>
      <c r="Y7" s="45" t="s">
        <v>53</v>
      </c>
      <c r="Z7" s="45">
        <v>3</v>
      </c>
      <c r="AA7" s="45"/>
      <c r="AB7" s="45"/>
      <c r="AC7" s="45"/>
      <c r="AD7" s="45"/>
    </row>
    <row r="8" spans="1:30" x14ac:dyDescent="0.25">
      <c r="A8" s="2">
        <v>4</v>
      </c>
      <c r="B8" s="5">
        <f t="shared" si="0"/>
        <v>127.62815625000002</v>
      </c>
      <c r="H8">
        <f>H7*1.75</f>
        <v>1.3542873703341325</v>
      </c>
      <c r="J8" s="64" t="s">
        <v>12</v>
      </c>
      <c r="K8" s="64"/>
      <c r="L8" s="64"/>
      <c r="N8" s="8">
        <f>N9/N10</f>
        <v>0.11238532110091744</v>
      </c>
      <c r="O8" t="s">
        <v>13</v>
      </c>
      <c r="R8" s="64" t="s">
        <v>14</v>
      </c>
      <c r="S8" s="64"/>
      <c r="T8" s="64"/>
      <c r="U8" s="64"/>
      <c r="V8">
        <f xml:space="preserve"> 1000</f>
        <v>1000</v>
      </c>
      <c r="X8" s="45" t="s">
        <v>29</v>
      </c>
      <c r="Y8" s="45" t="s">
        <v>53</v>
      </c>
      <c r="Z8" s="45">
        <v>1</v>
      </c>
      <c r="AA8" s="45"/>
      <c r="AB8" s="45"/>
      <c r="AC8" s="45"/>
      <c r="AD8" s="45"/>
    </row>
    <row r="9" spans="1:30" x14ac:dyDescent="0.25">
      <c r="A9" s="2">
        <v>5</v>
      </c>
      <c r="B9" s="5">
        <f t="shared" si="0"/>
        <v>134.00956406250003</v>
      </c>
      <c r="J9" s="64" t="s">
        <v>15</v>
      </c>
      <c r="K9" s="64"/>
      <c r="L9" s="64"/>
      <c r="M9" s="64"/>
      <c r="N9" s="9">
        <v>49</v>
      </c>
      <c r="O9" t="s">
        <v>16</v>
      </c>
      <c r="R9" s="64" t="s">
        <v>17</v>
      </c>
      <c r="S9" s="64"/>
      <c r="X9" s="45" t="s">
        <v>54</v>
      </c>
      <c r="Y9" s="45" t="s">
        <v>53</v>
      </c>
      <c r="Z9" s="45">
        <v>7</v>
      </c>
      <c r="AA9" s="45"/>
      <c r="AB9" s="45"/>
      <c r="AC9" s="45"/>
      <c r="AD9" s="45"/>
    </row>
    <row r="10" spans="1:30" x14ac:dyDescent="0.25">
      <c r="A10" s="2">
        <v>6</v>
      </c>
      <c r="B10" s="5">
        <f t="shared" si="0"/>
        <v>140.71004226562505</v>
      </c>
      <c r="J10" s="64" t="s">
        <v>18</v>
      </c>
      <c r="K10" s="64"/>
      <c r="L10" s="64"/>
      <c r="N10" s="9">
        <v>436</v>
      </c>
      <c r="O10" t="s">
        <v>16</v>
      </c>
      <c r="R10" s="64" t="s">
        <v>19</v>
      </c>
      <c r="S10" s="64"/>
      <c r="T10" s="64"/>
      <c r="X10" s="45" t="s">
        <v>55</v>
      </c>
      <c r="Y10" s="45" t="s">
        <v>53</v>
      </c>
      <c r="Z10" s="45">
        <v>10</v>
      </c>
      <c r="AA10" s="45"/>
      <c r="AB10" s="45"/>
      <c r="AC10" s="45"/>
      <c r="AD10" s="45"/>
    </row>
    <row r="11" spans="1:30" x14ac:dyDescent="0.25">
      <c r="A11" s="2">
        <v>7</v>
      </c>
      <c r="B11" s="5">
        <f t="shared" si="0"/>
        <v>147.74554437890632</v>
      </c>
      <c r="D11">
        <f>21*5</f>
        <v>105</v>
      </c>
      <c r="R11" s="61" t="s">
        <v>20</v>
      </c>
      <c r="S11" s="61"/>
      <c r="T11" s="61"/>
      <c r="V11" s="10">
        <v>0.7</v>
      </c>
      <c r="X11" s="45" t="s">
        <v>56</v>
      </c>
      <c r="Y11" s="45" t="s">
        <v>16</v>
      </c>
      <c r="Z11" s="45">
        <v>5935</v>
      </c>
      <c r="AA11" s="45"/>
      <c r="AB11" s="45"/>
      <c r="AC11" s="45"/>
      <c r="AD11" s="45"/>
    </row>
    <row r="12" spans="1:30" x14ac:dyDescent="0.25">
      <c r="A12" s="2">
        <v>8</v>
      </c>
      <c r="B12" s="5">
        <f t="shared" si="0"/>
        <v>155.13282159785163</v>
      </c>
      <c r="R12" t="s">
        <v>21</v>
      </c>
      <c r="S12">
        <f>V8*N27*(N9+M21)/(75*0.7)</f>
        <v>1.6045080844720578</v>
      </c>
      <c r="T12" t="s">
        <v>22</v>
      </c>
      <c r="X12" s="30" t="s">
        <v>57</v>
      </c>
      <c r="Y12" s="45" t="s">
        <v>16</v>
      </c>
      <c r="Z12" s="45">
        <v>282</v>
      </c>
      <c r="AA12" s="45"/>
      <c r="AB12" s="45"/>
      <c r="AC12" s="45"/>
      <c r="AD12" s="45"/>
    </row>
    <row r="13" spans="1:30" ht="15.75" x14ac:dyDescent="0.25">
      <c r="A13" s="2">
        <v>9</v>
      </c>
      <c r="B13" s="5">
        <f t="shared" si="0"/>
        <v>162.88946267774421</v>
      </c>
      <c r="J13" s="62" t="s">
        <v>23</v>
      </c>
      <c r="K13" s="62"/>
      <c r="L13" s="62"/>
      <c r="M13" s="62"/>
      <c r="N13" s="62"/>
      <c r="O13" s="62"/>
      <c r="P13" s="62"/>
      <c r="Q13" s="11"/>
      <c r="X13" s="30" t="s">
        <v>58</v>
      </c>
      <c r="Y13" s="45" t="s">
        <v>16</v>
      </c>
      <c r="Z13" s="32">
        <v>761</v>
      </c>
      <c r="AA13" s="45"/>
      <c r="AB13" s="45"/>
      <c r="AC13" s="45"/>
      <c r="AD13" s="45"/>
    </row>
    <row r="14" spans="1:30" x14ac:dyDescent="0.25">
      <c r="A14" s="2">
        <v>10</v>
      </c>
      <c r="B14" s="5">
        <f t="shared" si="0"/>
        <v>171.03393581163144</v>
      </c>
      <c r="X14" s="31" t="s">
        <v>59</v>
      </c>
      <c r="Y14" s="45" t="s">
        <v>53</v>
      </c>
      <c r="Z14" s="32">
        <v>1</v>
      </c>
      <c r="AA14" s="45"/>
      <c r="AB14" s="45"/>
      <c r="AC14" s="45"/>
      <c r="AD14" s="45"/>
    </row>
    <row r="15" spans="1:30" ht="15" customHeight="1" x14ac:dyDescent="0.25">
      <c r="A15" s="2">
        <v>11</v>
      </c>
      <c r="B15" s="5">
        <f t="shared" si="0"/>
        <v>179.58563260221302</v>
      </c>
      <c r="J15" s="12" t="s">
        <v>24</v>
      </c>
      <c r="K15" s="12" t="s">
        <v>25</v>
      </c>
      <c r="L15" s="12" t="s">
        <v>26</v>
      </c>
      <c r="M15" s="13" t="s">
        <v>27</v>
      </c>
      <c r="X15" s="33" t="s">
        <v>60</v>
      </c>
      <c r="Y15" s="45" t="s">
        <v>53</v>
      </c>
      <c r="Z15" s="32">
        <v>23</v>
      </c>
      <c r="AA15" s="45"/>
      <c r="AB15" s="45"/>
      <c r="AC15" s="45"/>
      <c r="AD15" s="45"/>
    </row>
    <row r="16" spans="1:30" ht="15" customHeight="1" x14ac:dyDescent="0.25">
      <c r="A16" s="2">
        <v>12</v>
      </c>
      <c r="B16" s="5">
        <f t="shared" si="0"/>
        <v>188.56491423232367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3" t="s">
        <v>61</v>
      </c>
      <c r="Y16" s="45" t="s">
        <v>53</v>
      </c>
      <c r="Z16" s="32">
        <v>21</v>
      </c>
      <c r="AA16" s="45"/>
      <c r="AB16" s="45"/>
      <c r="AC16" s="45"/>
      <c r="AD16" s="45"/>
    </row>
    <row r="17" spans="1:30" x14ac:dyDescent="0.25">
      <c r="A17" s="2">
        <v>13</v>
      </c>
      <c r="B17" s="5">
        <f t="shared" si="0"/>
        <v>197.99315994393987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3" t="s">
        <v>62</v>
      </c>
      <c r="Y17" s="45" t="s">
        <v>53</v>
      </c>
      <c r="Z17" s="32">
        <v>19</v>
      </c>
      <c r="AA17" s="45"/>
      <c r="AB17" s="45"/>
      <c r="AC17" s="45"/>
      <c r="AD17" s="45"/>
    </row>
    <row r="18" spans="1:30" x14ac:dyDescent="0.25">
      <c r="A18" s="2">
        <v>14</v>
      </c>
      <c r="B18" s="5">
        <f t="shared" si="0"/>
        <v>207.89281794113688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3" t="s">
        <v>91</v>
      </c>
      <c r="Y18" s="45" t="s">
        <v>53</v>
      </c>
      <c r="Z18" s="32">
        <v>2</v>
      </c>
      <c r="AA18" s="45"/>
      <c r="AB18" s="45"/>
      <c r="AC18" s="45"/>
      <c r="AD18" s="45"/>
    </row>
    <row r="19" spans="1:30" x14ac:dyDescent="0.25">
      <c r="A19" s="2">
        <v>15</v>
      </c>
      <c r="B19" s="5">
        <f t="shared" si="0"/>
        <v>218.28745883819374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1" t="s">
        <v>63</v>
      </c>
      <c r="Y19" s="45" t="s">
        <v>53</v>
      </c>
      <c r="Z19" s="32">
        <v>2</v>
      </c>
      <c r="AA19" s="45"/>
      <c r="AB19" s="45"/>
      <c r="AC19" s="45"/>
      <c r="AD19" s="45"/>
    </row>
    <row r="20" spans="1:30" x14ac:dyDescent="0.25">
      <c r="A20" s="2">
        <v>16</v>
      </c>
      <c r="B20" s="5">
        <f t="shared" si="0"/>
        <v>229.20183178010345</v>
      </c>
      <c r="J20" s="15"/>
      <c r="K20" s="16"/>
      <c r="L20" s="14"/>
      <c r="M20" s="14"/>
      <c r="X20" s="34" t="s">
        <v>64</v>
      </c>
      <c r="Y20" s="45" t="s">
        <v>53</v>
      </c>
      <c r="Z20" s="41">
        <v>1</v>
      </c>
      <c r="AA20" s="45"/>
      <c r="AB20" s="45"/>
      <c r="AC20" s="45"/>
      <c r="AD20" s="45"/>
    </row>
    <row r="21" spans="1:30" x14ac:dyDescent="0.25">
      <c r="A21" s="2">
        <v>17</v>
      </c>
      <c r="B21" s="5">
        <f t="shared" si="0"/>
        <v>240.66192336910862</v>
      </c>
      <c r="L21" s="17" t="s">
        <v>32</v>
      </c>
      <c r="M21">
        <f>SUM(M16:M20)</f>
        <v>13.200000000000001</v>
      </c>
      <c r="X21" s="45" t="s">
        <v>65</v>
      </c>
      <c r="Y21" s="45" t="s">
        <v>53</v>
      </c>
      <c r="Z21" s="35">
        <v>2</v>
      </c>
      <c r="AA21" s="45"/>
      <c r="AB21" s="45"/>
      <c r="AC21" s="45"/>
      <c r="AD21" s="45"/>
    </row>
    <row r="22" spans="1:30" x14ac:dyDescent="0.25">
      <c r="A22" s="2">
        <v>18</v>
      </c>
      <c r="B22" s="5">
        <f t="shared" si="0"/>
        <v>252.69501953756406</v>
      </c>
      <c r="X22" s="45" t="s">
        <v>66</v>
      </c>
      <c r="Y22" s="45" t="s">
        <v>53</v>
      </c>
      <c r="Z22" s="35">
        <v>3</v>
      </c>
      <c r="AA22" s="45"/>
      <c r="AB22" s="45"/>
      <c r="AC22" s="45"/>
      <c r="AD22" s="45"/>
    </row>
    <row r="23" spans="1:30" x14ac:dyDescent="0.25">
      <c r="A23" s="2">
        <v>19</v>
      </c>
      <c r="B23" s="5">
        <f t="shared" si="0"/>
        <v>265.32977051444226</v>
      </c>
      <c r="X23" s="45"/>
      <c r="Y23" s="45"/>
      <c r="Z23" s="45"/>
      <c r="AA23" s="45"/>
      <c r="AB23" s="45"/>
      <c r="AC23" s="45"/>
      <c r="AD23" s="45"/>
    </row>
    <row r="24" spans="1:30" ht="15.75" x14ac:dyDescent="0.25">
      <c r="A24" s="18">
        <v>20</v>
      </c>
      <c r="B24" s="19">
        <f t="shared" si="0"/>
        <v>278.5962590401644</v>
      </c>
      <c r="X24" s="47" t="s">
        <v>67</v>
      </c>
      <c r="Y24" s="47"/>
      <c r="Z24" s="47"/>
      <c r="AA24" s="45"/>
      <c r="AB24" s="45"/>
      <c r="AC24" s="45"/>
      <c r="AD24" s="45"/>
    </row>
    <row r="25" spans="1:30" x14ac:dyDescent="0.25">
      <c r="X25" s="45" t="s">
        <v>51</v>
      </c>
      <c r="Y25" s="45" t="s">
        <v>52</v>
      </c>
      <c r="Z25" s="45" t="s">
        <v>25</v>
      </c>
      <c r="AA25" s="45"/>
      <c r="AB25" s="45"/>
      <c r="AC25" s="45"/>
      <c r="AD25" s="45"/>
    </row>
    <row r="26" spans="1:30" x14ac:dyDescent="0.25">
      <c r="X26" s="45"/>
      <c r="Y26" s="45"/>
      <c r="Z26" s="45"/>
      <c r="AA26" s="45"/>
      <c r="AB26" s="45"/>
      <c r="AC26" s="45"/>
      <c r="AD26" s="45"/>
    </row>
    <row r="27" spans="1:30" x14ac:dyDescent="0.25">
      <c r="J27" t="s">
        <v>33</v>
      </c>
      <c r="N27" s="7">
        <f>H8/1000</f>
        <v>1.3542873703341325E-3</v>
      </c>
      <c r="X27" s="45" t="s">
        <v>68</v>
      </c>
      <c r="Y27" s="45" t="s">
        <v>69</v>
      </c>
      <c r="Z27" s="45">
        <v>90</v>
      </c>
      <c r="AA27" s="45"/>
      <c r="AB27" s="45"/>
      <c r="AC27" s="45"/>
      <c r="AD27" s="45"/>
    </row>
    <row r="28" spans="1:30" x14ac:dyDescent="0.25">
      <c r="J28" s="63" t="s">
        <v>34</v>
      </c>
      <c r="K28" s="63"/>
      <c r="L28" s="63"/>
      <c r="N28" s="7">
        <v>140</v>
      </c>
      <c r="X28" s="45" t="s">
        <v>70</v>
      </c>
      <c r="Y28" s="45" t="s">
        <v>71</v>
      </c>
      <c r="Z28" s="45">
        <v>8</v>
      </c>
      <c r="AA28" s="45"/>
      <c r="AB28" s="45"/>
      <c r="AC28" s="45"/>
      <c r="AD28" s="45"/>
    </row>
    <row r="29" spans="1:30" x14ac:dyDescent="0.25">
      <c r="J29" t="s">
        <v>35</v>
      </c>
      <c r="N29">
        <v>0.05</v>
      </c>
      <c r="X29" s="45" t="s">
        <v>72</v>
      </c>
      <c r="Y29" s="45" t="s">
        <v>73</v>
      </c>
      <c r="Z29" s="45">
        <v>380</v>
      </c>
      <c r="AA29" s="45"/>
      <c r="AB29" s="45"/>
      <c r="AC29" s="45"/>
      <c r="AD29" s="45"/>
    </row>
    <row r="30" spans="1:30" x14ac:dyDescent="0.25">
      <c r="J30" s="64" t="s">
        <v>36</v>
      </c>
      <c r="K30" s="64"/>
      <c r="N30">
        <f>M21</f>
        <v>13.200000000000001</v>
      </c>
      <c r="X30" s="45" t="s">
        <v>74</v>
      </c>
      <c r="Y30" s="45" t="s">
        <v>75</v>
      </c>
      <c r="Z30" s="45">
        <v>450</v>
      </c>
      <c r="AA30" s="45"/>
      <c r="AB30" s="45"/>
      <c r="AC30" s="45"/>
      <c r="AD30" s="45"/>
    </row>
    <row r="31" spans="1:30" x14ac:dyDescent="0.25">
      <c r="J31" s="64" t="s">
        <v>37</v>
      </c>
      <c r="K31" s="64"/>
      <c r="N31">
        <f>10.643*((N27/N28)^1.852)*(N30/(N29^4.87))</f>
        <v>0.15738140001547904</v>
      </c>
      <c r="X31" s="45" t="s">
        <v>76</v>
      </c>
      <c r="Y31" s="45" t="s">
        <v>75</v>
      </c>
      <c r="Z31" s="45">
        <v>450</v>
      </c>
      <c r="AA31" s="45"/>
      <c r="AB31" s="45"/>
      <c r="AC31" s="45"/>
      <c r="AD31" s="45"/>
    </row>
    <row r="32" spans="1:30" x14ac:dyDescent="0.25">
      <c r="X32" s="45" t="s">
        <v>77</v>
      </c>
      <c r="Y32" s="45" t="s">
        <v>73</v>
      </c>
      <c r="Z32" s="45">
        <v>10</v>
      </c>
      <c r="AA32" s="45"/>
      <c r="AB32" s="45"/>
      <c r="AC32" s="45"/>
      <c r="AD32" s="45"/>
    </row>
    <row r="33" spans="10:30" x14ac:dyDescent="0.25">
      <c r="X33" s="45" t="s">
        <v>78</v>
      </c>
      <c r="Y33" s="45" t="s">
        <v>71</v>
      </c>
      <c r="Z33" s="45">
        <v>140</v>
      </c>
      <c r="AA33" s="45"/>
      <c r="AB33" s="45"/>
      <c r="AC33" s="45"/>
      <c r="AD33" s="45"/>
    </row>
    <row r="34" spans="10:30" ht="15.75" x14ac:dyDescent="0.25">
      <c r="J34" s="62" t="s">
        <v>38</v>
      </c>
      <c r="K34" s="62"/>
      <c r="L34" s="62"/>
      <c r="X34" s="45"/>
      <c r="Y34" s="45"/>
      <c r="Z34" s="45"/>
      <c r="AA34" s="45"/>
      <c r="AB34" s="45"/>
      <c r="AC34" s="45"/>
      <c r="AD34" s="45"/>
    </row>
    <row r="35" spans="10:30" ht="15.75" x14ac:dyDescent="0.25">
      <c r="X35" s="46" t="s">
        <v>79</v>
      </c>
      <c r="Y35" s="36"/>
      <c r="Z35" s="36"/>
      <c r="AA35" s="45"/>
      <c r="AB35" s="45"/>
      <c r="AC35" s="45"/>
      <c r="AD35" s="45"/>
    </row>
    <row r="36" spans="10:30" x14ac:dyDescent="0.25">
      <c r="X36" s="45"/>
      <c r="Y36" s="45" t="s">
        <v>52</v>
      </c>
      <c r="Z36" s="45" t="s">
        <v>25</v>
      </c>
      <c r="AA36" s="45"/>
      <c r="AB36" s="45"/>
      <c r="AC36" s="45">
        <v>0.48</v>
      </c>
      <c r="AD36" s="45"/>
    </row>
    <row r="37" spans="10:30" x14ac:dyDescent="0.25">
      <c r="X37" s="37" t="s">
        <v>80</v>
      </c>
      <c r="Y37" s="45" t="s">
        <v>16</v>
      </c>
      <c r="Z37" s="45">
        <f>Z11</f>
        <v>5935</v>
      </c>
      <c r="AA37" s="45">
        <f>SUM(Z37:Z39)</f>
        <v>6978</v>
      </c>
      <c r="AB37" s="45"/>
      <c r="AC37" s="45"/>
      <c r="AD37" s="45"/>
    </row>
    <row r="38" spans="10:30" x14ac:dyDescent="0.25">
      <c r="X38" s="38" t="s">
        <v>81</v>
      </c>
      <c r="Y38" s="45" t="s">
        <v>16</v>
      </c>
      <c r="Z38" s="45">
        <f>Z12</f>
        <v>282</v>
      </c>
      <c r="AA38" s="45"/>
      <c r="AB38" s="45">
        <f>0.75*AA37</f>
        <v>5233.5</v>
      </c>
      <c r="AC38" s="45"/>
      <c r="AD38" s="45"/>
    </row>
    <row r="39" spans="10:30" x14ac:dyDescent="0.25">
      <c r="X39" s="38" t="s">
        <v>82</v>
      </c>
      <c r="Y39" s="45" t="s">
        <v>16</v>
      </c>
      <c r="Z39" s="45">
        <f>Z13</f>
        <v>761</v>
      </c>
      <c r="AA39" s="45"/>
      <c r="AB39" s="45">
        <f>0.2*AA37</f>
        <v>1395.6000000000001</v>
      </c>
      <c r="AC39" s="45"/>
      <c r="AD39" s="45"/>
    </row>
    <row r="40" spans="10:30" x14ac:dyDescent="0.25">
      <c r="X40" s="39" t="s">
        <v>83</v>
      </c>
      <c r="Y40" s="39" t="s">
        <v>71</v>
      </c>
      <c r="Z40" s="45">
        <f>AB38*AC36</f>
        <v>2512.08</v>
      </c>
      <c r="AA40" s="45"/>
      <c r="AB40" s="45">
        <f>0.05*AA37</f>
        <v>348.90000000000003</v>
      </c>
      <c r="AC40" s="45"/>
      <c r="AD40" s="45"/>
    </row>
    <row r="41" spans="10:30" x14ac:dyDescent="0.25">
      <c r="X41" s="45" t="s">
        <v>84</v>
      </c>
      <c r="Y41" s="39" t="s">
        <v>71</v>
      </c>
      <c r="Z41" s="45">
        <f>AB39*AC36</f>
        <v>669.88800000000003</v>
      </c>
      <c r="AA41" s="45"/>
      <c r="AB41" s="45"/>
      <c r="AC41" s="45"/>
      <c r="AD41" s="45"/>
    </row>
    <row r="42" spans="10:30" x14ac:dyDescent="0.25">
      <c r="K42" t="s">
        <v>39</v>
      </c>
      <c r="L42">
        <f>((10.643*((N27/N28)^1.852))/N8)^(1/4.87)</f>
        <v>3.1542943524341317E-2</v>
      </c>
      <c r="M42" t="s">
        <v>16</v>
      </c>
      <c r="X42" s="45" t="s">
        <v>85</v>
      </c>
      <c r="Y42" s="39" t="s">
        <v>71</v>
      </c>
      <c r="Z42" s="45">
        <f>AB40*AC36</f>
        <v>167.47200000000001</v>
      </c>
      <c r="AA42" s="45"/>
      <c r="AB42" s="45"/>
      <c r="AC42" s="45"/>
      <c r="AD42" s="45"/>
    </row>
    <row r="43" spans="10:30" ht="30" x14ac:dyDescent="0.25">
      <c r="X43" s="40" t="s">
        <v>86</v>
      </c>
      <c r="Y43" s="45" t="s">
        <v>53</v>
      </c>
      <c r="Z43" s="45">
        <v>1</v>
      </c>
      <c r="AA43" s="45"/>
      <c r="AB43" s="45"/>
      <c r="AC43" s="45"/>
      <c r="AD43" s="45"/>
    </row>
    <row r="44" spans="10:30" x14ac:dyDescent="0.25">
      <c r="X44" s="45" t="s">
        <v>87</v>
      </c>
      <c r="Y44" s="45" t="s">
        <v>88</v>
      </c>
      <c r="Z44" s="45">
        <v>300</v>
      </c>
      <c r="AA44" s="45"/>
      <c r="AB44" s="45"/>
      <c r="AC44" s="45"/>
      <c r="AD44" s="45"/>
    </row>
    <row r="45" spans="10:30" x14ac:dyDescent="0.25">
      <c r="J45" s="57" t="s">
        <v>40</v>
      </c>
      <c r="K45" s="57"/>
      <c r="L45" s="57"/>
      <c r="M45" s="57"/>
      <c r="N45" s="57"/>
      <c r="X45" s="45" t="s">
        <v>89</v>
      </c>
      <c r="Y45" s="45" t="s">
        <v>88</v>
      </c>
      <c r="Z45" s="45">
        <v>90</v>
      </c>
      <c r="AA45" s="45"/>
      <c r="AB45" s="45"/>
      <c r="AC45" s="45"/>
      <c r="AD45" s="45"/>
    </row>
    <row r="46" spans="10:30" x14ac:dyDescent="0.25">
      <c r="J46" s="57"/>
      <c r="K46" s="57"/>
      <c r="L46" s="57"/>
      <c r="M46" s="57"/>
      <c r="N46" s="57"/>
      <c r="X46" s="45" t="s">
        <v>90</v>
      </c>
      <c r="Y46" s="45" t="s">
        <v>88</v>
      </c>
      <c r="Z46" s="45">
        <v>400</v>
      </c>
      <c r="AA46" s="45"/>
      <c r="AB46" s="45"/>
      <c r="AC46" s="45"/>
      <c r="AD46" s="45"/>
    </row>
    <row r="47" spans="10:30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3.7134635151883873E-2</v>
      </c>
    </row>
  </sheetData>
  <mergeCells count="24"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180975</xdr:rowOff>
              </to>
            </anchor>
          </objectPr>
        </oleObject>
      </mc:Choice>
      <mc:Fallback>
        <oleObject progId="Equation.3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abSelected="1" topLeftCell="P10" workbookViewId="0">
      <selection activeCell="X25" sqref="X25"/>
    </sheetView>
  </sheetViews>
  <sheetFormatPr defaultRowHeight="15" x14ac:dyDescent="0.25"/>
  <cols>
    <col min="1" max="1" width="9.5703125" customWidth="1"/>
    <col min="2" max="2" width="11.710937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8.85546875" customWidth="1"/>
  </cols>
  <sheetData>
    <row r="1" spans="1:29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62" t="s">
        <v>49</v>
      </c>
      <c r="Y1" s="62"/>
      <c r="Z1" s="62"/>
      <c r="AA1" s="43"/>
      <c r="AB1" s="43"/>
      <c r="AC1" s="43"/>
    </row>
    <row r="2" spans="1:29" x14ac:dyDescent="0.25">
      <c r="A2" s="69" t="s">
        <v>95</v>
      </c>
      <c r="B2" s="64"/>
      <c r="X2" s="43"/>
      <c r="Y2" s="43"/>
      <c r="Z2" s="43"/>
      <c r="AA2" s="43"/>
      <c r="AB2" s="43"/>
      <c r="AC2" s="43"/>
    </row>
    <row r="3" spans="1:29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44" t="s">
        <v>50</v>
      </c>
      <c r="Y3" s="43"/>
      <c r="Z3" s="43"/>
      <c r="AA3" s="43"/>
      <c r="AB3" s="43"/>
      <c r="AC3" s="43"/>
    </row>
    <row r="4" spans="1:29" x14ac:dyDescent="0.25">
      <c r="A4" s="2">
        <v>0</v>
      </c>
      <c r="B4" s="4">
        <v>580</v>
      </c>
      <c r="X4" s="43"/>
      <c r="Y4" s="43"/>
      <c r="Z4" s="43"/>
      <c r="AA4" s="43"/>
      <c r="AB4" s="43"/>
      <c r="AC4" s="43"/>
    </row>
    <row r="5" spans="1:29" x14ac:dyDescent="0.25">
      <c r="A5" s="2">
        <v>1</v>
      </c>
      <c r="B5" s="5">
        <f>B4*1.05</f>
        <v>609</v>
      </c>
      <c r="X5" s="43" t="s">
        <v>51</v>
      </c>
      <c r="Y5" s="43" t="s">
        <v>52</v>
      </c>
      <c r="Z5" s="43" t="s">
        <v>25</v>
      </c>
      <c r="AA5" s="43"/>
      <c r="AB5" s="43"/>
      <c r="AC5" s="43"/>
    </row>
    <row r="6" spans="1:29" x14ac:dyDescent="0.25">
      <c r="A6" s="2">
        <v>2</v>
      </c>
      <c r="B6" s="5">
        <f t="shared" ref="B6:B24" si="0">B5*1.05</f>
        <v>639.45000000000005</v>
      </c>
      <c r="E6" t="s">
        <v>7</v>
      </c>
      <c r="F6" t="s">
        <v>8</v>
      </c>
      <c r="G6" t="s">
        <v>9</v>
      </c>
      <c r="H6" t="s">
        <v>10</v>
      </c>
      <c r="X6" s="43"/>
      <c r="Y6" s="43"/>
      <c r="Z6" s="43"/>
      <c r="AA6" s="43"/>
      <c r="AB6" s="43"/>
      <c r="AC6" s="43"/>
    </row>
    <row r="7" spans="1:29" x14ac:dyDescent="0.25">
      <c r="A7" s="2">
        <v>3</v>
      </c>
      <c r="B7" s="5">
        <f t="shared" si="0"/>
        <v>671.42250000000013</v>
      </c>
      <c r="E7">
        <v>1.2</v>
      </c>
      <c r="F7">
        <v>200</v>
      </c>
      <c r="G7" s="6">
        <f>B24</f>
        <v>1538.9126689837651</v>
      </c>
      <c r="H7" s="7">
        <f>(E7*F7*G7)/86400</f>
        <v>4.2747574138437923</v>
      </c>
      <c r="R7" s="64" t="s">
        <v>11</v>
      </c>
      <c r="S7" s="64"/>
      <c r="T7" s="64"/>
      <c r="X7" s="43" t="s">
        <v>28</v>
      </c>
      <c r="Y7" s="43" t="s">
        <v>53</v>
      </c>
      <c r="Z7" s="43">
        <v>2</v>
      </c>
      <c r="AA7" s="43"/>
      <c r="AB7" s="43"/>
      <c r="AC7" s="43"/>
    </row>
    <row r="8" spans="1:29" x14ac:dyDescent="0.25">
      <c r="A8" s="2">
        <v>4</v>
      </c>
      <c r="B8" s="5">
        <f t="shared" si="0"/>
        <v>704.99362500000018</v>
      </c>
      <c r="H8">
        <f>H7*1.75</f>
        <v>7.480825474226636</v>
      </c>
      <c r="J8" s="64" t="s">
        <v>12</v>
      </c>
      <c r="K8" s="64"/>
      <c r="L8" s="64"/>
      <c r="N8" s="8">
        <f>N9/N10</f>
        <v>8.8484848484848486E-2</v>
      </c>
      <c r="O8" t="s">
        <v>13</v>
      </c>
      <c r="R8" s="64" t="s">
        <v>14</v>
      </c>
      <c r="S8" s="64"/>
      <c r="T8" s="64"/>
      <c r="U8" s="64"/>
      <c r="V8">
        <f xml:space="preserve"> 1000</f>
        <v>1000</v>
      </c>
      <c r="X8" s="43" t="s">
        <v>29</v>
      </c>
      <c r="Y8" s="43" t="s">
        <v>53</v>
      </c>
      <c r="Z8" s="43">
        <v>1</v>
      </c>
      <c r="AA8" s="43"/>
      <c r="AB8" s="43"/>
      <c r="AC8" s="43"/>
    </row>
    <row r="9" spans="1:29" x14ac:dyDescent="0.25">
      <c r="A9" s="2">
        <v>5</v>
      </c>
      <c r="B9" s="5">
        <f t="shared" si="0"/>
        <v>740.24330625000027</v>
      </c>
      <c r="J9" s="64" t="s">
        <v>15</v>
      </c>
      <c r="K9" s="64"/>
      <c r="L9" s="64"/>
      <c r="M9" s="64"/>
      <c r="N9" s="9">
        <v>73</v>
      </c>
      <c r="O9" t="s">
        <v>16</v>
      </c>
      <c r="R9" s="64" t="s">
        <v>17</v>
      </c>
      <c r="S9" s="64"/>
      <c r="X9" s="43" t="s">
        <v>54</v>
      </c>
      <c r="Y9" s="43" t="s">
        <v>53</v>
      </c>
      <c r="Z9" s="43">
        <v>4</v>
      </c>
      <c r="AA9" s="43"/>
      <c r="AB9" s="43"/>
      <c r="AC9" s="43"/>
    </row>
    <row r="10" spans="1:29" x14ac:dyDescent="0.25">
      <c r="A10" s="2">
        <v>6</v>
      </c>
      <c r="B10" s="5">
        <f t="shared" si="0"/>
        <v>777.25547156250036</v>
      </c>
      <c r="J10" s="64" t="s">
        <v>18</v>
      </c>
      <c r="K10" s="64"/>
      <c r="L10" s="64"/>
      <c r="N10" s="9">
        <v>825</v>
      </c>
      <c r="O10" t="s">
        <v>16</v>
      </c>
      <c r="R10" s="64" t="s">
        <v>19</v>
      </c>
      <c r="S10" s="64"/>
      <c r="T10" s="64"/>
      <c r="X10" s="43" t="s">
        <v>55</v>
      </c>
      <c r="Y10" s="43" t="s">
        <v>53</v>
      </c>
      <c r="Z10" s="43">
        <v>5</v>
      </c>
      <c r="AA10" s="43"/>
      <c r="AB10" s="43"/>
      <c r="AC10" s="43"/>
    </row>
    <row r="11" spans="1:29" x14ac:dyDescent="0.25">
      <c r="A11" s="2">
        <v>7</v>
      </c>
      <c r="B11" s="5">
        <f t="shared" si="0"/>
        <v>816.11824514062539</v>
      </c>
      <c r="R11" s="61" t="s">
        <v>20</v>
      </c>
      <c r="S11" s="61"/>
      <c r="T11" s="61"/>
      <c r="V11" s="10">
        <v>0.7</v>
      </c>
      <c r="X11" s="43" t="s">
        <v>56</v>
      </c>
      <c r="Y11" s="43" t="s">
        <v>16</v>
      </c>
      <c r="Z11" s="43">
        <v>825</v>
      </c>
      <c r="AA11" s="43"/>
      <c r="AB11" s="43"/>
      <c r="AC11" s="43"/>
    </row>
    <row r="12" spans="1:29" x14ac:dyDescent="0.25">
      <c r="A12" s="2">
        <v>8</v>
      </c>
      <c r="B12" s="5">
        <f t="shared" si="0"/>
        <v>856.9241573976567</v>
      </c>
      <c r="D12">
        <f>116*5</f>
        <v>580</v>
      </c>
      <c r="R12" t="s">
        <v>21</v>
      </c>
      <c r="S12">
        <f>V8*N27*(N9+M21)/(75*0.7)</f>
        <v>12.282802969111163</v>
      </c>
      <c r="T12" t="s">
        <v>22</v>
      </c>
      <c r="X12" s="31" t="s">
        <v>59</v>
      </c>
      <c r="Y12" s="43" t="s">
        <v>53</v>
      </c>
      <c r="Z12" s="32">
        <v>1</v>
      </c>
      <c r="AA12" s="43"/>
      <c r="AB12" s="43"/>
      <c r="AC12" s="43"/>
    </row>
    <row r="13" spans="1:29" ht="15.75" x14ac:dyDescent="0.25">
      <c r="A13" s="2">
        <v>9</v>
      </c>
      <c r="B13" s="5">
        <f t="shared" si="0"/>
        <v>899.77036526753955</v>
      </c>
      <c r="J13" s="62" t="s">
        <v>23</v>
      </c>
      <c r="K13" s="62"/>
      <c r="L13" s="62"/>
      <c r="M13" s="62"/>
      <c r="N13" s="62"/>
      <c r="O13" s="62"/>
      <c r="P13" s="62"/>
      <c r="Q13" s="11"/>
      <c r="X13" s="33" t="s">
        <v>60</v>
      </c>
      <c r="Y13" s="43" t="s">
        <v>53</v>
      </c>
      <c r="Z13" s="32">
        <v>2</v>
      </c>
      <c r="AA13" s="43"/>
      <c r="AB13" s="43"/>
      <c r="AC13" s="43"/>
    </row>
    <row r="14" spans="1:29" x14ac:dyDescent="0.25">
      <c r="A14" s="2">
        <v>10</v>
      </c>
      <c r="B14" s="5">
        <f t="shared" si="0"/>
        <v>944.75888353091659</v>
      </c>
      <c r="X14" s="34" t="s">
        <v>64</v>
      </c>
      <c r="Y14" s="43" t="s">
        <v>53</v>
      </c>
      <c r="Z14" s="41">
        <v>1</v>
      </c>
      <c r="AA14" s="43"/>
      <c r="AB14" s="43"/>
      <c r="AC14" s="43"/>
    </row>
    <row r="15" spans="1:29" ht="15" customHeight="1" x14ac:dyDescent="0.25">
      <c r="A15" s="2">
        <v>11</v>
      </c>
      <c r="B15" s="5">
        <f t="shared" si="0"/>
        <v>991.99682770746244</v>
      </c>
      <c r="J15" s="12" t="s">
        <v>24</v>
      </c>
      <c r="K15" s="12" t="s">
        <v>25</v>
      </c>
      <c r="L15" s="12" t="s">
        <v>26</v>
      </c>
      <c r="M15" s="13" t="s">
        <v>27</v>
      </c>
      <c r="X15" s="43" t="s">
        <v>65</v>
      </c>
      <c r="Y15" s="43" t="s">
        <v>53</v>
      </c>
      <c r="Z15" s="35">
        <v>1</v>
      </c>
      <c r="AA15" s="43"/>
      <c r="AB15" s="43"/>
      <c r="AC15" s="43"/>
    </row>
    <row r="16" spans="1:29" ht="15" customHeight="1" x14ac:dyDescent="0.25">
      <c r="A16" s="2">
        <v>12</v>
      </c>
      <c r="B16" s="5">
        <f t="shared" si="0"/>
        <v>1041.5966690928356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51" t="s">
        <v>92</v>
      </c>
      <c r="Y16" s="44"/>
      <c r="Z16" s="44"/>
      <c r="AA16" s="43"/>
      <c r="AB16" s="43"/>
      <c r="AC16" s="43"/>
    </row>
    <row r="17" spans="1:29" x14ac:dyDescent="0.25">
      <c r="A17" s="2">
        <v>13</v>
      </c>
      <c r="B17" s="5">
        <f t="shared" si="0"/>
        <v>1093.6765025474774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43" t="s">
        <v>51</v>
      </c>
      <c r="Y17" s="43" t="s">
        <v>52</v>
      </c>
      <c r="Z17" s="43" t="s">
        <v>25</v>
      </c>
      <c r="AA17" s="43"/>
      <c r="AB17" s="43"/>
      <c r="AC17" s="43"/>
    </row>
    <row r="18" spans="1:29" x14ac:dyDescent="0.25">
      <c r="A18" s="2">
        <v>14</v>
      </c>
      <c r="B18" s="5">
        <f t="shared" si="0"/>
        <v>1148.3603276748513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43"/>
      <c r="Y18" s="43"/>
      <c r="Z18" s="43"/>
      <c r="AA18" s="43"/>
      <c r="AB18" s="43"/>
      <c r="AC18" s="43"/>
    </row>
    <row r="19" spans="1:29" x14ac:dyDescent="0.25">
      <c r="A19" s="2">
        <v>15</v>
      </c>
      <c r="B19" s="5">
        <f t="shared" si="0"/>
        <v>1205.778344058594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43" t="s">
        <v>68</v>
      </c>
      <c r="Y19" s="43" t="s">
        <v>69</v>
      </c>
      <c r="Z19" s="43">
        <v>180</v>
      </c>
      <c r="AA19" s="43"/>
      <c r="AB19" s="43"/>
      <c r="AC19" s="43"/>
    </row>
    <row r="20" spans="1:29" x14ac:dyDescent="0.25">
      <c r="A20" s="2">
        <v>16</v>
      </c>
      <c r="B20" s="5">
        <f t="shared" si="0"/>
        <v>1266.0672612615238</v>
      </c>
      <c r="J20" s="15"/>
      <c r="K20" s="16"/>
      <c r="L20" s="14"/>
      <c r="M20" s="14"/>
      <c r="X20" s="43" t="s">
        <v>70</v>
      </c>
      <c r="Y20" s="43" t="s">
        <v>71</v>
      </c>
      <c r="Z20" s="43">
        <v>16</v>
      </c>
      <c r="AA20" s="43"/>
      <c r="AB20" s="43"/>
      <c r="AC20" s="43"/>
    </row>
    <row r="21" spans="1:29" x14ac:dyDescent="0.25">
      <c r="A21" s="2">
        <v>17</v>
      </c>
      <c r="B21" s="5">
        <f t="shared" si="0"/>
        <v>1329.3706243245999</v>
      </c>
      <c r="L21" s="17" t="s">
        <v>32</v>
      </c>
      <c r="M21">
        <f>SUM(M16:M20)</f>
        <v>13.200000000000001</v>
      </c>
      <c r="X21" s="43" t="s">
        <v>72</v>
      </c>
      <c r="Y21" s="43" t="s">
        <v>73</v>
      </c>
      <c r="Z21" s="43">
        <v>760</v>
      </c>
      <c r="AA21" s="43"/>
      <c r="AB21" s="43"/>
      <c r="AC21" s="43"/>
    </row>
    <row r="22" spans="1:29" x14ac:dyDescent="0.25">
      <c r="A22" s="2">
        <v>18</v>
      </c>
      <c r="B22" s="5">
        <f t="shared" si="0"/>
        <v>1395.83915554083</v>
      </c>
      <c r="X22" s="43" t="s">
        <v>74</v>
      </c>
      <c r="Y22" s="43" t="s">
        <v>75</v>
      </c>
      <c r="Z22" s="43">
        <v>900</v>
      </c>
      <c r="AA22" s="50"/>
      <c r="AB22" s="43"/>
      <c r="AC22" s="43"/>
    </row>
    <row r="23" spans="1:29" x14ac:dyDescent="0.25">
      <c r="A23" s="2">
        <v>19</v>
      </c>
      <c r="B23" s="5">
        <f t="shared" si="0"/>
        <v>1465.6311133178715</v>
      </c>
      <c r="X23" s="43" t="s">
        <v>76</v>
      </c>
      <c r="Y23" s="43" t="s">
        <v>75</v>
      </c>
      <c r="Z23" s="43">
        <v>900</v>
      </c>
      <c r="AA23" s="50"/>
      <c r="AB23" s="43"/>
      <c r="AC23" s="43"/>
    </row>
    <row r="24" spans="1:29" x14ac:dyDescent="0.25">
      <c r="A24" s="18">
        <v>20</v>
      </c>
      <c r="B24" s="19">
        <f t="shared" si="0"/>
        <v>1538.9126689837651</v>
      </c>
      <c r="X24" s="43" t="s">
        <v>77</v>
      </c>
      <c r="Y24" s="43" t="s">
        <v>73</v>
      </c>
      <c r="Z24" s="43">
        <v>20</v>
      </c>
      <c r="AA24" s="50"/>
      <c r="AB24" s="43"/>
      <c r="AC24" s="43"/>
    </row>
    <row r="25" spans="1:29" x14ac:dyDescent="0.25">
      <c r="X25" s="43" t="s">
        <v>78</v>
      </c>
      <c r="Y25" s="43" t="s">
        <v>71</v>
      </c>
      <c r="Z25" s="43">
        <v>280</v>
      </c>
      <c r="AA25" s="50"/>
      <c r="AB25" s="43"/>
      <c r="AC25" s="43"/>
    </row>
    <row r="26" spans="1:29" ht="15.75" x14ac:dyDescent="0.25">
      <c r="X26" s="42" t="s">
        <v>79</v>
      </c>
      <c r="Y26" s="36"/>
      <c r="Z26" s="36"/>
      <c r="AA26" s="43"/>
      <c r="AB26" s="43"/>
      <c r="AC26" s="43"/>
    </row>
    <row r="27" spans="1:29" x14ac:dyDescent="0.25">
      <c r="J27" t="s">
        <v>33</v>
      </c>
      <c r="N27" s="7">
        <f>H8/1000</f>
        <v>7.4808254742266362E-3</v>
      </c>
      <c r="X27" s="43"/>
      <c r="Y27" s="43" t="s">
        <v>52</v>
      </c>
      <c r="Z27" s="43" t="s">
        <v>25</v>
      </c>
      <c r="AA27" s="43"/>
      <c r="AB27" s="43"/>
      <c r="AC27" s="43">
        <v>0.48</v>
      </c>
    </row>
    <row r="28" spans="1:29" x14ac:dyDescent="0.25">
      <c r="J28" s="63" t="s">
        <v>34</v>
      </c>
      <c r="K28" s="63"/>
      <c r="L28" s="63"/>
      <c r="N28" s="7">
        <v>140</v>
      </c>
      <c r="X28" s="37" t="s">
        <v>80</v>
      </c>
      <c r="Y28" s="43" t="s">
        <v>16</v>
      </c>
      <c r="Z28" s="43">
        <f>Z11</f>
        <v>825</v>
      </c>
      <c r="AA28" s="43">
        <f>Z28</f>
        <v>825</v>
      </c>
      <c r="AB28" s="43"/>
      <c r="AC28" s="43"/>
    </row>
    <row r="29" spans="1:29" x14ac:dyDescent="0.25">
      <c r="J29" t="s">
        <v>35</v>
      </c>
      <c r="N29">
        <v>0.05</v>
      </c>
      <c r="X29" s="39" t="s">
        <v>83</v>
      </c>
      <c r="Y29" s="39" t="s">
        <v>71</v>
      </c>
      <c r="Z29" s="43">
        <f>AA29*AC27</f>
        <v>297</v>
      </c>
      <c r="AA29" s="43">
        <f>0.75*AA28</f>
        <v>618.75</v>
      </c>
      <c r="AB29" s="43"/>
      <c r="AC29" s="43"/>
    </row>
    <row r="30" spans="1:29" x14ac:dyDescent="0.25">
      <c r="J30" s="64" t="s">
        <v>36</v>
      </c>
      <c r="K30" s="64"/>
      <c r="N30">
        <f>M21</f>
        <v>13.200000000000001</v>
      </c>
      <c r="X30" s="43" t="s">
        <v>84</v>
      </c>
      <c r="Y30" s="39" t="s">
        <v>71</v>
      </c>
      <c r="Z30" s="43">
        <f>AA30*AC27</f>
        <v>79.2</v>
      </c>
      <c r="AA30" s="43">
        <f>0.2*AA28</f>
        <v>165</v>
      </c>
      <c r="AB30" s="43"/>
      <c r="AC30" s="43"/>
    </row>
    <row r="31" spans="1:29" x14ac:dyDescent="0.25">
      <c r="J31" s="64" t="s">
        <v>37</v>
      </c>
      <c r="K31" s="64"/>
      <c r="N31">
        <f>10.643*((N27/N28)^1.852)*(N30/(N29^4.87))</f>
        <v>3.728889093427588</v>
      </c>
      <c r="X31" s="43" t="s">
        <v>85</v>
      </c>
      <c r="Y31" s="39" t="s">
        <v>71</v>
      </c>
      <c r="Z31" s="43">
        <f>AA31*AC27</f>
        <v>19.8</v>
      </c>
      <c r="AA31" s="43">
        <f>0.05*AA28</f>
        <v>41.25</v>
      </c>
      <c r="AB31" s="43"/>
      <c r="AC31" s="43"/>
    </row>
    <row r="32" spans="1:29" ht="30" x14ac:dyDescent="0.25">
      <c r="X32" s="40" t="s">
        <v>86</v>
      </c>
      <c r="Y32" s="43" t="s">
        <v>53</v>
      </c>
      <c r="Z32" s="43">
        <v>1</v>
      </c>
      <c r="AA32" s="43"/>
      <c r="AB32" s="43"/>
      <c r="AC32" s="43"/>
    </row>
    <row r="33" spans="10:29" x14ac:dyDescent="0.25">
      <c r="X33" s="43" t="s">
        <v>87</v>
      </c>
      <c r="Y33" s="43" t="s">
        <v>88</v>
      </c>
      <c r="Z33" s="43">
        <v>600</v>
      </c>
      <c r="AA33" s="43"/>
      <c r="AB33" s="43"/>
      <c r="AC33" s="43"/>
    </row>
    <row r="34" spans="10:29" ht="15.75" x14ac:dyDescent="0.25">
      <c r="J34" s="62" t="s">
        <v>38</v>
      </c>
      <c r="K34" s="62"/>
      <c r="L34" s="62"/>
      <c r="X34" s="43" t="s">
        <v>89</v>
      </c>
      <c r="Y34" s="43" t="s">
        <v>88</v>
      </c>
      <c r="Z34" s="43">
        <v>180</v>
      </c>
      <c r="AA34" s="43"/>
      <c r="AB34" s="43"/>
      <c r="AC34" s="43"/>
    </row>
    <row r="35" spans="10:29" x14ac:dyDescent="0.25">
      <c r="X35" s="43" t="s">
        <v>90</v>
      </c>
      <c r="Y35" s="43" t="s">
        <v>88</v>
      </c>
      <c r="Z35" s="43">
        <v>800</v>
      </c>
      <c r="AA35" s="43"/>
      <c r="AB35" s="43"/>
      <c r="AC35" s="43"/>
    </row>
    <row r="42" spans="10:29" x14ac:dyDescent="0.25">
      <c r="K42" t="s">
        <v>39</v>
      </c>
      <c r="L42">
        <f>((10.643*((N27/N28)^1.852))/N8)^(1/4.87)</f>
        <v>6.345835621924438E-2</v>
      </c>
      <c r="M42" t="s">
        <v>16</v>
      </c>
    </row>
    <row r="45" spans="10:29" x14ac:dyDescent="0.25">
      <c r="J45" s="57" t="s">
        <v>40</v>
      </c>
      <c r="K45" s="57"/>
      <c r="L45" s="57"/>
      <c r="M45" s="57"/>
      <c r="N45" s="57"/>
    </row>
    <row r="46" spans="10:29" x14ac:dyDescent="0.25">
      <c r="J46" s="57"/>
      <c r="K46" s="57"/>
      <c r="L46" s="57"/>
      <c r="M46" s="57"/>
      <c r="N46" s="57"/>
    </row>
    <row r="47" spans="10:29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8.7276738523195077E-2</v>
      </c>
    </row>
  </sheetData>
  <mergeCells count="24">
    <mergeCell ref="R8:U8"/>
    <mergeCell ref="J9:M9"/>
    <mergeCell ref="R9:S9"/>
    <mergeCell ref="A1:C1"/>
    <mergeCell ref="E1:H1"/>
    <mergeCell ref="J1:O1"/>
    <mergeCell ref="R1:U1"/>
    <mergeCell ref="A2:B2"/>
    <mergeCell ref="X1:Z1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J3:N3"/>
    <mergeCell ref="R7:T7"/>
    <mergeCell ref="J8:L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3073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0</xdr:rowOff>
              </to>
            </anchor>
          </objectPr>
        </oleObject>
      </mc:Choice>
      <mc:Fallback>
        <oleObject progId="Equation.3" shapeId="3073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workbookViewId="0">
      <selection activeCell="AC45" sqref="AC45"/>
    </sheetView>
  </sheetViews>
  <sheetFormatPr defaultRowHeight="15" x14ac:dyDescent="0.25"/>
  <cols>
    <col min="1" max="1" width="9.140625" customWidth="1"/>
    <col min="10" max="10" width="18.85546875" bestFit="1" customWidth="1"/>
    <col min="11" max="11" width="11.5703125" customWidth="1"/>
    <col min="13" max="13" width="9.140625" customWidth="1"/>
    <col min="14" max="14" width="9.5703125" bestFit="1" customWidth="1"/>
    <col min="24" max="24" width="75.28515625" customWidth="1"/>
    <col min="26" max="26" width="11.42578125" customWidth="1"/>
    <col min="27" max="27" width="9.140625" hidden="1" customWidth="1"/>
    <col min="28" max="28" width="11.42578125" hidden="1" customWidth="1"/>
    <col min="29" max="29" width="9" hidden="1" customWidth="1"/>
  </cols>
  <sheetData>
    <row r="1" spans="1:30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62" t="s">
        <v>49</v>
      </c>
      <c r="Y1" s="62"/>
      <c r="Z1" s="62"/>
      <c r="AA1" s="28"/>
      <c r="AB1" s="28"/>
      <c r="AC1" s="28"/>
      <c r="AD1" s="28"/>
    </row>
    <row r="2" spans="1:30" x14ac:dyDescent="0.25">
      <c r="A2" s="69" t="s">
        <v>98</v>
      </c>
      <c r="B2" s="64"/>
      <c r="X2" s="28"/>
      <c r="Y2" s="28"/>
      <c r="Z2" s="28"/>
      <c r="AA2" s="28"/>
      <c r="AB2" s="28"/>
      <c r="AC2" s="28"/>
      <c r="AD2" s="28"/>
    </row>
    <row r="3" spans="1:30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29" t="s">
        <v>50</v>
      </c>
      <c r="Y3" s="28"/>
      <c r="Z3" s="28"/>
      <c r="AA3" s="28"/>
      <c r="AB3" s="28"/>
      <c r="AC3" s="28"/>
      <c r="AD3" s="28"/>
    </row>
    <row r="4" spans="1:30" x14ac:dyDescent="0.25">
      <c r="A4" s="2">
        <v>0</v>
      </c>
      <c r="B4" s="4">
        <v>50</v>
      </c>
      <c r="X4" s="28"/>
      <c r="Y4" s="28"/>
      <c r="Z4" s="28"/>
      <c r="AA4" s="28"/>
      <c r="AB4" s="28"/>
      <c r="AC4" s="28"/>
      <c r="AD4" s="28"/>
    </row>
    <row r="5" spans="1:30" x14ac:dyDescent="0.25">
      <c r="A5" s="2">
        <v>1</v>
      </c>
      <c r="B5" s="5">
        <f>B4*1.05</f>
        <v>52.5</v>
      </c>
      <c r="X5" s="28" t="s">
        <v>51</v>
      </c>
      <c r="Y5" s="28" t="s">
        <v>52</v>
      </c>
      <c r="Z5" s="28" t="s">
        <v>25</v>
      </c>
      <c r="AA5" s="28"/>
      <c r="AB5" s="28"/>
      <c r="AC5" s="28"/>
      <c r="AD5" s="28"/>
    </row>
    <row r="6" spans="1:30" x14ac:dyDescent="0.25">
      <c r="A6" s="2">
        <v>2</v>
      </c>
      <c r="B6" s="5">
        <f t="shared" ref="B6:B24" si="0">B5*1.05</f>
        <v>55.125</v>
      </c>
      <c r="E6" t="s">
        <v>7</v>
      </c>
      <c r="F6" t="s">
        <v>8</v>
      </c>
      <c r="G6" t="s">
        <v>9</v>
      </c>
      <c r="H6" t="s">
        <v>10</v>
      </c>
      <c r="X6" s="28"/>
      <c r="Y6" s="28"/>
      <c r="Z6" s="28"/>
      <c r="AA6" s="28"/>
      <c r="AB6" s="28"/>
      <c r="AC6" s="28"/>
      <c r="AD6" s="28"/>
    </row>
    <row r="7" spans="1:30" x14ac:dyDescent="0.25">
      <c r="A7" s="2">
        <v>3</v>
      </c>
      <c r="B7" s="5">
        <f t="shared" si="0"/>
        <v>57.881250000000001</v>
      </c>
      <c r="E7">
        <v>1.2</v>
      </c>
      <c r="F7">
        <v>200</v>
      </c>
      <c r="G7" s="6">
        <f>B24</f>
        <v>132.66488525722113</v>
      </c>
      <c r="H7" s="7">
        <f>(E7*F7*G7)/86400</f>
        <v>0.36851357015894759</v>
      </c>
      <c r="R7" s="64" t="s">
        <v>11</v>
      </c>
      <c r="S7" s="64"/>
      <c r="T7" s="64"/>
      <c r="X7" s="28" t="s">
        <v>28</v>
      </c>
      <c r="Y7" s="28" t="s">
        <v>53</v>
      </c>
      <c r="Z7" s="28">
        <v>3</v>
      </c>
      <c r="AA7" s="28"/>
      <c r="AB7" s="28"/>
      <c r="AC7" s="28"/>
      <c r="AD7" s="28"/>
    </row>
    <row r="8" spans="1:30" x14ac:dyDescent="0.25">
      <c r="A8" s="2">
        <v>4</v>
      </c>
      <c r="B8" s="5">
        <f t="shared" si="0"/>
        <v>60.775312500000005</v>
      </c>
      <c r="H8">
        <f>H7*1.75</f>
        <v>0.64489874777815825</v>
      </c>
      <c r="J8" s="64" t="s">
        <v>12</v>
      </c>
      <c r="K8" s="64"/>
      <c r="L8" s="64"/>
      <c r="N8" s="8">
        <f>N9/N10</f>
        <v>1.5384615384615385E-2</v>
      </c>
      <c r="O8" t="s">
        <v>13</v>
      </c>
      <c r="R8" s="64" t="s">
        <v>14</v>
      </c>
      <c r="S8" s="64"/>
      <c r="T8" s="64"/>
      <c r="U8" s="64"/>
      <c r="V8">
        <f xml:space="preserve"> 1000</f>
        <v>1000</v>
      </c>
      <c r="X8" s="28" t="s">
        <v>29</v>
      </c>
      <c r="Y8" s="28" t="s">
        <v>53</v>
      </c>
      <c r="Z8" s="28">
        <v>1</v>
      </c>
      <c r="AA8" s="28"/>
      <c r="AB8" s="28"/>
      <c r="AC8" s="28"/>
      <c r="AD8" s="28"/>
    </row>
    <row r="9" spans="1:30" x14ac:dyDescent="0.25">
      <c r="A9" s="2">
        <v>5</v>
      </c>
      <c r="B9" s="5">
        <f t="shared" si="0"/>
        <v>63.814078125000009</v>
      </c>
      <c r="J9" s="64" t="s">
        <v>15</v>
      </c>
      <c r="K9" s="64"/>
      <c r="L9" s="64"/>
      <c r="M9" s="64"/>
      <c r="N9" s="9">
        <v>8</v>
      </c>
      <c r="O9" t="s">
        <v>16</v>
      </c>
      <c r="R9" s="64" t="s">
        <v>17</v>
      </c>
      <c r="S9" s="64"/>
      <c r="X9" s="28" t="s">
        <v>54</v>
      </c>
      <c r="Y9" s="28" t="s">
        <v>53</v>
      </c>
      <c r="Z9" s="28">
        <v>4</v>
      </c>
      <c r="AA9" s="28"/>
      <c r="AB9" s="28"/>
      <c r="AC9" s="28"/>
      <c r="AD9" s="28"/>
    </row>
    <row r="10" spans="1:30" x14ac:dyDescent="0.25">
      <c r="A10" s="2">
        <v>6</v>
      </c>
      <c r="B10" s="5">
        <f t="shared" si="0"/>
        <v>67.004782031250016</v>
      </c>
      <c r="J10" s="64" t="s">
        <v>18</v>
      </c>
      <c r="K10" s="64"/>
      <c r="L10" s="64"/>
      <c r="N10" s="9">
        <v>520</v>
      </c>
      <c r="O10" t="s">
        <v>16</v>
      </c>
      <c r="R10" s="64" t="s">
        <v>19</v>
      </c>
      <c r="S10" s="64"/>
      <c r="T10" s="64"/>
      <c r="X10" s="28" t="s">
        <v>55</v>
      </c>
      <c r="Y10" s="28" t="s">
        <v>53</v>
      </c>
      <c r="Z10" s="28">
        <v>5</v>
      </c>
      <c r="AA10" s="28"/>
      <c r="AB10" s="28"/>
      <c r="AC10" s="28"/>
      <c r="AD10" s="28"/>
    </row>
    <row r="11" spans="1:30" x14ac:dyDescent="0.25">
      <c r="A11" s="2">
        <v>7</v>
      </c>
      <c r="B11" s="5">
        <f t="shared" si="0"/>
        <v>70.355021132812524</v>
      </c>
      <c r="D11">
        <f>10*5</f>
        <v>50</v>
      </c>
      <c r="R11" s="61" t="s">
        <v>20</v>
      </c>
      <c r="S11" s="61"/>
      <c r="T11" s="61"/>
      <c r="V11" s="10">
        <v>0.7</v>
      </c>
      <c r="X11" s="28" t="s">
        <v>56</v>
      </c>
      <c r="Y11" s="28" t="s">
        <v>16</v>
      </c>
      <c r="Z11" s="28">
        <v>8320</v>
      </c>
      <c r="AA11" s="28"/>
      <c r="AB11" s="28"/>
      <c r="AC11" s="28"/>
      <c r="AD11" s="28"/>
    </row>
    <row r="12" spans="1:30" x14ac:dyDescent="0.25">
      <c r="A12" s="2">
        <v>8</v>
      </c>
      <c r="B12" s="5">
        <f t="shared" si="0"/>
        <v>73.872772189453158</v>
      </c>
      <c r="R12" t="s">
        <v>21</v>
      </c>
      <c r="S12">
        <f>V8*N27*(N9+M21)/(75*0.7)</f>
        <v>0.1488092892832322</v>
      </c>
      <c r="T12" t="s">
        <v>22</v>
      </c>
      <c r="X12" s="30" t="s">
        <v>57</v>
      </c>
      <c r="Y12" s="28" t="s">
        <v>16</v>
      </c>
      <c r="Z12" s="28">
        <v>2958</v>
      </c>
      <c r="AA12" s="28"/>
      <c r="AB12" s="28"/>
      <c r="AC12" s="28"/>
      <c r="AD12" s="28"/>
    </row>
    <row r="13" spans="1:30" ht="15.75" x14ac:dyDescent="0.25">
      <c r="A13" s="2">
        <v>9</v>
      </c>
      <c r="B13" s="5">
        <f t="shared" si="0"/>
        <v>77.566410798925816</v>
      </c>
      <c r="J13" s="62" t="s">
        <v>23</v>
      </c>
      <c r="K13" s="62"/>
      <c r="L13" s="62"/>
      <c r="M13" s="62"/>
      <c r="N13" s="62"/>
      <c r="O13" s="62"/>
      <c r="P13" s="62"/>
      <c r="Q13" s="11"/>
      <c r="X13" s="30" t="s">
        <v>58</v>
      </c>
      <c r="Y13" s="28" t="s">
        <v>16</v>
      </c>
      <c r="Z13" s="32">
        <v>525</v>
      </c>
      <c r="AA13" s="28"/>
      <c r="AB13" s="28"/>
      <c r="AC13" s="28"/>
      <c r="AD13" s="28"/>
    </row>
    <row r="14" spans="1:30" x14ac:dyDescent="0.25">
      <c r="A14" s="2">
        <v>10</v>
      </c>
      <c r="B14" s="5">
        <f t="shared" si="0"/>
        <v>81.444731338872103</v>
      </c>
      <c r="X14" s="31" t="s">
        <v>59</v>
      </c>
      <c r="Y14" s="28" t="s">
        <v>53</v>
      </c>
      <c r="Z14" s="32">
        <v>1</v>
      </c>
      <c r="AA14" s="28"/>
      <c r="AB14" s="28"/>
      <c r="AC14" s="28"/>
      <c r="AD14" s="28"/>
    </row>
    <row r="15" spans="1:30" ht="15" customHeight="1" x14ac:dyDescent="0.25">
      <c r="A15" s="2">
        <v>11</v>
      </c>
      <c r="B15" s="5">
        <f t="shared" si="0"/>
        <v>85.516967905815719</v>
      </c>
      <c r="J15" s="12" t="s">
        <v>24</v>
      </c>
      <c r="K15" s="12" t="s">
        <v>25</v>
      </c>
      <c r="L15" s="12" t="s">
        <v>26</v>
      </c>
      <c r="M15" s="13" t="s">
        <v>27</v>
      </c>
      <c r="X15" s="33" t="s">
        <v>60</v>
      </c>
      <c r="Y15" s="28" t="s">
        <v>53</v>
      </c>
      <c r="Z15" s="32">
        <v>11</v>
      </c>
      <c r="AA15" s="28"/>
      <c r="AB15" s="28"/>
      <c r="AC15" s="28"/>
      <c r="AD15" s="28"/>
    </row>
    <row r="16" spans="1:30" ht="15" customHeight="1" x14ac:dyDescent="0.25">
      <c r="A16" s="2">
        <v>12</v>
      </c>
      <c r="B16" s="5">
        <f t="shared" si="0"/>
        <v>89.792816301106512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33" t="s">
        <v>61</v>
      </c>
      <c r="Y16" s="28" t="s">
        <v>53</v>
      </c>
      <c r="Z16" s="32">
        <v>10</v>
      </c>
      <c r="AA16" s="28"/>
      <c r="AB16" s="28"/>
      <c r="AC16" s="28"/>
      <c r="AD16" s="28"/>
    </row>
    <row r="17" spans="1:30" x14ac:dyDescent="0.25">
      <c r="A17" s="2">
        <v>13</v>
      </c>
      <c r="B17" s="5">
        <f t="shared" si="0"/>
        <v>94.282457116161837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33" t="s">
        <v>62</v>
      </c>
      <c r="Y17" s="28" t="s">
        <v>53</v>
      </c>
      <c r="Z17" s="32">
        <v>7</v>
      </c>
      <c r="AA17" s="28"/>
      <c r="AB17" s="28"/>
      <c r="AC17" s="28"/>
      <c r="AD17" s="28"/>
    </row>
    <row r="18" spans="1:30" x14ac:dyDescent="0.25">
      <c r="A18" s="2">
        <v>14</v>
      </c>
      <c r="B18" s="5">
        <f t="shared" si="0"/>
        <v>98.996579971969936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  <c r="X18" s="33" t="s">
        <v>91</v>
      </c>
      <c r="Y18" s="28" t="s">
        <v>53</v>
      </c>
      <c r="Z18" s="32">
        <v>3</v>
      </c>
      <c r="AA18" s="28"/>
      <c r="AB18" s="28"/>
      <c r="AC18" s="28"/>
      <c r="AD18" s="28"/>
    </row>
    <row r="19" spans="1:30" x14ac:dyDescent="0.25">
      <c r="A19" s="2">
        <v>15</v>
      </c>
      <c r="B19" s="5">
        <f t="shared" si="0"/>
        <v>103.94640897056844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31" t="s">
        <v>63</v>
      </c>
      <c r="Y19" s="28" t="s">
        <v>53</v>
      </c>
      <c r="Z19" s="32">
        <v>3</v>
      </c>
      <c r="AA19" s="28"/>
      <c r="AB19" s="28"/>
      <c r="AC19" s="28"/>
      <c r="AD19" s="28"/>
    </row>
    <row r="20" spans="1:30" x14ac:dyDescent="0.25">
      <c r="A20" s="2">
        <v>16</v>
      </c>
      <c r="B20" s="5">
        <f t="shared" si="0"/>
        <v>109.14372941909687</v>
      </c>
      <c r="J20" s="15"/>
      <c r="K20" s="16"/>
      <c r="L20" s="14"/>
      <c r="M20" s="14"/>
      <c r="X20" s="34" t="s">
        <v>64</v>
      </c>
      <c r="Y20" s="28" t="s">
        <v>53</v>
      </c>
      <c r="Z20" s="41">
        <v>1</v>
      </c>
      <c r="AA20" s="28"/>
      <c r="AB20" s="28"/>
      <c r="AC20" s="28"/>
      <c r="AD20" s="28"/>
    </row>
    <row r="21" spans="1:30" x14ac:dyDescent="0.25">
      <c r="A21" s="2">
        <v>17</v>
      </c>
      <c r="B21" s="5">
        <f t="shared" si="0"/>
        <v>114.60091589005172</v>
      </c>
      <c r="L21" s="17" t="s">
        <v>32</v>
      </c>
      <c r="M21">
        <f>SUM(M16:M20)</f>
        <v>13.200000000000001</v>
      </c>
      <c r="X21" s="28" t="s">
        <v>65</v>
      </c>
      <c r="Y21" s="28" t="s">
        <v>53</v>
      </c>
      <c r="Z21" s="35">
        <v>2</v>
      </c>
      <c r="AA21" s="28"/>
      <c r="AB21" s="28"/>
      <c r="AC21" s="28"/>
      <c r="AD21" s="28"/>
    </row>
    <row r="22" spans="1:30" x14ac:dyDescent="0.25">
      <c r="A22" s="2">
        <v>18</v>
      </c>
      <c r="B22" s="5">
        <f t="shared" si="0"/>
        <v>120.33096168455431</v>
      </c>
      <c r="X22" s="28" t="s">
        <v>66</v>
      </c>
      <c r="Y22" s="28" t="s">
        <v>53</v>
      </c>
      <c r="Z22" s="35">
        <v>3</v>
      </c>
      <c r="AA22" s="28"/>
      <c r="AB22" s="28"/>
      <c r="AC22" s="28"/>
      <c r="AD22" s="28"/>
    </row>
    <row r="23" spans="1:30" x14ac:dyDescent="0.25">
      <c r="A23" s="2">
        <v>19</v>
      </c>
      <c r="B23" s="5">
        <f t="shared" si="0"/>
        <v>126.34750976878203</v>
      </c>
      <c r="X23" s="28"/>
      <c r="Y23" s="28"/>
      <c r="Z23" s="28"/>
      <c r="AA23" s="28"/>
      <c r="AB23" s="28"/>
      <c r="AC23" s="28"/>
      <c r="AD23" s="28"/>
    </row>
    <row r="24" spans="1:30" ht="15.75" x14ac:dyDescent="0.25">
      <c r="A24" s="18">
        <v>20</v>
      </c>
      <c r="B24" s="19">
        <f t="shared" si="0"/>
        <v>132.66488525722113</v>
      </c>
      <c r="X24" s="51" t="s">
        <v>99</v>
      </c>
      <c r="Y24" s="51"/>
      <c r="Z24" s="51"/>
      <c r="AA24" s="51"/>
      <c r="AB24" s="50"/>
      <c r="AC24" s="28"/>
      <c r="AD24" s="28"/>
    </row>
    <row r="25" spans="1:30" x14ac:dyDescent="0.25">
      <c r="X25" s="50" t="s">
        <v>51</v>
      </c>
      <c r="Y25" s="50" t="s">
        <v>52</v>
      </c>
      <c r="Z25" s="50" t="s">
        <v>25</v>
      </c>
      <c r="AA25" s="50"/>
      <c r="AB25" s="50"/>
      <c r="AC25" s="28"/>
      <c r="AD25" s="28"/>
    </row>
    <row r="26" spans="1:30" x14ac:dyDescent="0.25">
      <c r="X26" s="50"/>
      <c r="Y26" s="50"/>
      <c r="Z26" s="50"/>
      <c r="AA26" s="50"/>
      <c r="AB26" s="50"/>
      <c r="AC26" s="28"/>
      <c r="AD26" s="28"/>
    </row>
    <row r="27" spans="1:30" x14ac:dyDescent="0.25">
      <c r="J27" t="s">
        <v>33</v>
      </c>
      <c r="N27" s="7">
        <f>H7/1000</f>
        <v>3.6851357015894762E-4</v>
      </c>
      <c r="X27" s="50" t="s">
        <v>68</v>
      </c>
      <c r="Y27" s="50" t="s">
        <v>69</v>
      </c>
      <c r="Z27" s="50">
        <v>45</v>
      </c>
      <c r="AA27" s="50"/>
      <c r="AB27" s="50"/>
      <c r="AC27" s="28"/>
      <c r="AD27" s="28"/>
    </row>
    <row r="28" spans="1:30" x14ac:dyDescent="0.25">
      <c r="J28" s="63" t="s">
        <v>34</v>
      </c>
      <c r="K28" s="63"/>
      <c r="L28" s="63"/>
      <c r="N28" s="7">
        <v>140</v>
      </c>
      <c r="X28" s="50" t="s">
        <v>70</v>
      </c>
      <c r="Y28" s="50" t="s">
        <v>71</v>
      </c>
      <c r="Z28" s="50">
        <v>4</v>
      </c>
      <c r="AA28" s="50"/>
      <c r="AB28" s="50"/>
      <c r="AC28" s="28"/>
      <c r="AD28" s="28"/>
    </row>
    <row r="29" spans="1:30" x14ac:dyDescent="0.25">
      <c r="J29" t="s">
        <v>35</v>
      </c>
      <c r="N29">
        <v>0.05</v>
      </c>
      <c r="X29" s="50" t="s">
        <v>74</v>
      </c>
      <c r="Y29" s="50" t="s">
        <v>73</v>
      </c>
      <c r="Z29" s="50">
        <v>200</v>
      </c>
      <c r="AA29" s="50"/>
      <c r="AB29" s="50"/>
      <c r="AC29" s="28"/>
      <c r="AD29" s="28"/>
    </row>
    <row r="30" spans="1:30" x14ac:dyDescent="0.25">
      <c r="J30" s="64" t="s">
        <v>36</v>
      </c>
      <c r="K30" s="64"/>
      <c r="N30">
        <f>M21</f>
        <v>13.200000000000001</v>
      </c>
      <c r="X30" s="50" t="s">
        <v>76</v>
      </c>
      <c r="Y30" s="50" t="s">
        <v>75</v>
      </c>
      <c r="Z30" s="50">
        <v>250</v>
      </c>
      <c r="AA30" s="50"/>
      <c r="AB30" s="50"/>
      <c r="AC30" s="28"/>
      <c r="AD30" s="28"/>
    </row>
    <row r="31" spans="1:30" x14ac:dyDescent="0.25">
      <c r="J31" s="64" t="s">
        <v>37</v>
      </c>
      <c r="K31" s="64"/>
      <c r="N31">
        <f>10.643*((N27/N28)^1.852)*(N30/(N29^4.87))</f>
        <v>1.4128524346084194E-2</v>
      </c>
      <c r="X31" s="50" t="s">
        <v>77</v>
      </c>
      <c r="Y31" s="50" t="s">
        <v>73</v>
      </c>
      <c r="Z31" s="50">
        <v>10</v>
      </c>
      <c r="AA31" s="50"/>
      <c r="AB31" s="50"/>
      <c r="AC31" s="28"/>
      <c r="AD31" s="28"/>
    </row>
    <row r="32" spans="1:30" x14ac:dyDescent="0.25">
      <c r="X32" s="50" t="s">
        <v>78</v>
      </c>
      <c r="Y32" s="50" t="s">
        <v>71</v>
      </c>
      <c r="Z32" s="50">
        <v>65</v>
      </c>
      <c r="AA32" s="50"/>
      <c r="AB32" s="50"/>
      <c r="AC32" s="28"/>
      <c r="AD32" s="28"/>
    </row>
    <row r="33" spans="10:30" x14ac:dyDescent="0.25">
      <c r="X33" s="50"/>
      <c r="Y33" s="50"/>
      <c r="Z33" s="50"/>
      <c r="AA33" s="50"/>
      <c r="AB33" s="50"/>
      <c r="AC33" s="28"/>
      <c r="AD33" s="28"/>
    </row>
    <row r="34" spans="10:30" ht="15.75" x14ac:dyDescent="0.25">
      <c r="J34" s="62" t="s">
        <v>38</v>
      </c>
      <c r="K34" s="62"/>
      <c r="L34" s="62"/>
      <c r="X34" s="62" t="s">
        <v>79</v>
      </c>
      <c r="Y34" s="70"/>
      <c r="Z34" s="70"/>
      <c r="AA34" s="70"/>
      <c r="AB34" s="50"/>
      <c r="AC34" s="28"/>
      <c r="AD34" s="28"/>
    </row>
    <row r="35" spans="10:30" x14ac:dyDescent="0.25">
      <c r="X35" s="50"/>
      <c r="Y35" s="50" t="s">
        <v>52</v>
      </c>
      <c r="Z35" s="50" t="s">
        <v>25</v>
      </c>
      <c r="AB35" s="50"/>
      <c r="AC35" s="50">
        <v>0.48</v>
      </c>
      <c r="AD35" s="28"/>
    </row>
    <row r="36" spans="10:30" x14ac:dyDescent="0.25">
      <c r="X36" s="49" t="s">
        <v>80</v>
      </c>
      <c r="Y36" s="50" t="s">
        <v>16</v>
      </c>
      <c r="Z36" s="50">
        <f>Z11</f>
        <v>8320</v>
      </c>
      <c r="AB36" s="50"/>
      <c r="AC36" s="50"/>
      <c r="AD36" s="28"/>
    </row>
    <row r="37" spans="10:30" x14ac:dyDescent="0.25">
      <c r="X37" s="56" t="s">
        <v>101</v>
      </c>
      <c r="Y37" s="50" t="s">
        <v>16</v>
      </c>
      <c r="Z37" s="50">
        <f>Z12+Z13</f>
        <v>3483</v>
      </c>
      <c r="AA37" s="50">
        <f>Z11+Z12+Z13</f>
        <v>11803</v>
      </c>
      <c r="AB37" s="50"/>
      <c r="AC37" s="50"/>
      <c r="AD37" s="28"/>
    </row>
    <row r="38" spans="10:30" ht="15" customHeight="1" x14ac:dyDescent="0.25">
      <c r="X38" s="40" t="s">
        <v>83</v>
      </c>
      <c r="Y38" s="39" t="s">
        <v>71</v>
      </c>
      <c r="Z38" s="50">
        <f>AA38*AC35</f>
        <v>4249.08</v>
      </c>
      <c r="AA38" s="50">
        <f>0.75*AA37</f>
        <v>8852.25</v>
      </c>
      <c r="AB38" s="50"/>
      <c r="AC38" s="50"/>
      <c r="AD38" s="28"/>
    </row>
    <row r="39" spans="10:30" x14ac:dyDescent="0.25">
      <c r="X39" s="49" t="s">
        <v>84</v>
      </c>
      <c r="Y39" s="39" t="s">
        <v>71</v>
      </c>
      <c r="Z39" s="50">
        <f>AA39*AC35</f>
        <v>1133.088</v>
      </c>
      <c r="AA39" s="50">
        <f>0.2*AA37</f>
        <v>2360.6</v>
      </c>
      <c r="AB39" s="50"/>
      <c r="AC39" s="50"/>
      <c r="AD39" s="28"/>
    </row>
    <row r="40" spans="10:30" x14ac:dyDescent="0.25">
      <c r="X40" s="49" t="s">
        <v>100</v>
      </c>
      <c r="Y40" s="39" t="s">
        <v>71</v>
      </c>
      <c r="Z40" s="50">
        <f>AA40*AC35</f>
        <v>283.27199999999999</v>
      </c>
      <c r="AA40" s="50">
        <f>0.05*AA37</f>
        <v>590.15</v>
      </c>
      <c r="AC40" s="28"/>
      <c r="AD40" s="28"/>
    </row>
    <row r="41" spans="10:30" ht="30" x14ac:dyDescent="0.25">
      <c r="X41" s="40" t="s">
        <v>86</v>
      </c>
      <c r="Y41" s="50" t="s">
        <v>53</v>
      </c>
      <c r="Z41" s="50">
        <v>1</v>
      </c>
      <c r="AC41" s="28"/>
      <c r="AD41" s="28"/>
    </row>
    <row r="42" spans="10:30" x14ac:dyDescent="0.25">
      <c r="K42" t="s">
        <v>39</v>
      </c>
      <c r="L42">
        <f>((10.643*((N27/N28)^1.852))/N8)^(1/4.87)</f>
        <v>2.8925257801862732E-2</v>
      </c>
      <c r="M42" t="s">
        <v>16</v>
      </c>
      <c r="X42" s="50" t="s">
        <v>87</v>
      </c>
      <c r="Y42" s="50" t="s">
        <v>88</v>
      </c>
      <c r="Z42" s="50">
        <v>250</v>
      </c>
      <c r="AC42" s="28"/>
      <c r="AD42" s="28"/>
    </row>
    <row r="43" spans="10:30" x14ac:dyDescent="0.25">
      <c r="X43" s="50" t="s">
        <v>89</v>
      </c>
      <c r="Y43" s="50" t="s">
        <v>88</v>
      </c>
      <c r="Z43" s="50">
        <v>80</v>
      </c>
      <c r="AC43" s="28"/>
      <c r="AD43" s="28"/>
    </row>
    <row r="44" spans="10:30" x14ac:dyDescent="0.25">
      <c r="X44" s="50" t="s">
        <v>90</v>
      </c>
      <c r="Y44" s="50" t="s">
        <v>88</v>
      </c>
      <c r="Z44" s="50">
        <v>350</v>
      </c>
      <c r="AC44" s="28"/>
      <c r="AD44" s="28"/>
    </row>
    <row r="45" spans="10:30" x14ac:dyDescent="0.25">
      <c r="J45" s="57" t="s">
        <v>40</v>
      </c>
      <c r="K45" s="57"/>
      <c r="L45" s="57"/>
      <c r="M45" s="57"/>
      <c r="N45" s="57"/>
      <c r="X45" s="28"/>
      <c r="Y45" s="28"/>
      <c r="Z45" s="28"/>
      <c r="AA45" s="28"/>
      <c r="AB45" s="28"/>
      <c r="AC45" s="28"/>
      <c r="AD45" s="28"/>
    </row>
    <row r="46" spans="10:30" x14ac:dyDescent="0.25">
      <c r="J46" s="57"/>
      <c r="K46" s="57"/>
      <c r="L46" s="57"/>
      <c r="M46" s="57"/>
      <c r="N46" s="57"/>
      <c r="X46" s="28"/>
      <c r="Y46" s="28"/>
      <c r="Z46" s="28"/>
      <c r="AA46" s="28"/>
      <c r="AB46" s="28"/>
      <c r="AC46" s="28"/>
      <c r="AD46" s="28"/>
    </row>
    <row r="47" spans="10:30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t="s">
        <v>48</v>
      </c>
      <c r="L62">
        <v>1.2</v>
      </c>
    </row>
    <row r="63" spans="10:14" x14ac:dyDescent="0.25">
      <c r="K63" t="s">
        <v>39</v>
      </c>
      <c r="L63">
        <f>L61^(1/4)*L62*(N27^0.5)</f>
        <v>1.9370930797534359E-2</v>
      </c>
    </row>
  </sheetData>
  <mergeCells count="25">
    <mergeCell ref="A1:C1"/>
    <mergeCell ref="E1:H1"/>
    <mergeCell ref="J1:O1"/>
    <mergeCell ref="R1:U1"/>
    <mergeCell ref="A2:B2"/>
    <mergeCell ref="J59:N59"/>
    <mergeCell ref="R11:T11"/>
    <mergeCell ref="J13:P13"/>
    <mergeCell ref="J28:L28"/>
    <mergeCell ref="J30:K30"/>
    <mergeCell ref="J31:K31"/>
    <mergeCell ref="J34:L34"/>
    <mergeCell ref="X34:AA34"/>
    <mergeCell ref="X1:Z1"/>
    <mergeCell ref="J45:N47"/>
    <mergeCell ref="J50:N50"/>
    <mergeCell ref="J58:N58"/>
    <mergeCell ref="J10:L10"/>
    <mergeCell ref="R10:T10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4097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7" workbookViewId="0">
      <selection activeCell="AA21" sqref="AA21"/>
    </sheetView>
  </sheetViews>
  <sheetFormatPr defaultRowHeight="15" x14ac:dyDescent="0.25"/>
  <cols>
    <col min="1" max="1" width="9.140625" style="50" customWidth="1"/>
    <col min="2" max="9" width="9.140625" style="50"/>
    <col min="10" max="10" width="18.85546875" style="50" bestFit="1" customWidth="1"/>
    <col min="11" max="11" width="11.5703125" style="50" customWidth="1"/>
    <col min="12" max="12" width="9.140625" style="50"/>
    <col min="13" max="13" width="9.140625" style="50" customWidth="1"/>
    <col min="14" max="14" width="9.5703125" style="50" bestFit="1" customWidth="1"/>
    <col min="15" max="23" width="9.140625" style="50"/>
    <col min="24" max="24" width="78.85546875" style="50" customWidth="1"/>
    <col min="25" max="25" width="9.140625" style="50"/>
    <col min="26" max="26" width="11.42578125" style="50" bestFit="1" customWidth="1"/>
    <col min="27" max="16384" width="9.140625" style="50"/>
  </cols>
  <sheetData>
    <row r="1" spans="1:26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62" t="s">
        <v>49</v>
      </c>
      <c r="Y1" s="62"/>
      <c r="Z1" s="62"/>
    </row>
    <row r="2" spans="1:26" x14ac:dyDescent="0.25">
      <c r="A2" s="69" t="s">
        <v>96</v>
      </c>
      <c r="B2" s="64"/>
    </row>
    <row r="3" spans="1:26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51" t="s">
        <v>50</v>
      </c>
    </row>
    <row r="4" spans="1:26" x14ac:dyDescent="0.25">
      <c r="A4" s="2">
        <v>0</v>
      </c>
      <c r="B4" s="4">
        <v>250</v>
      </c>
    </row>
    <row r="5" spans="1:26" x14ac:dyDescent="0.25">
      <c r="A5" s="2">
        <v>1</v>
      </c>
      <c r="B5" s="5">
        <f>B4*1.05</f>
        <v>262.5</v>
      </c>
      <c r="X5" s="50" t="s">
        <v>51</v>
      </c>
      <c r="Y5" s="50" t="s">
        <v>52</v>
      </c>
      <c r="Z5" s="50" t="s">
        <v>25</v>
      </c>
    </row>
    <row r="6" spans="1:26" x14ac:dyDescent="0.25">
      <c r="A6" s="2">
        <v>2</v>
      </c>
      <c r="B6" s="5">
        <f t="shared" ref="B6:B24" si="0">B5*1.05</f>
        <v>275.625</v>
      </c>
      <c r="E6" s="50" t="s">
        <v>7</v>
      </c>
      <c r="F6" s="50" t="s">
        <v>8</v>
      </c>
      <c r="G6" s="50" t="s">
        <v>9</v>
      </c>
      <c r="H6" s="50" t="s">
        <v>10</v>
      </c>
    </row>
    <row r="7" spans="1:26" x14ac:dyDescent="0.25">
      <c r="A7" s="2">
        <v>3</v>
      </c>
      <c r="B7" s="5">
        <f t="shared" si="0"/>
        <v>289.40625</v>
      </c>
      <c r="E7" s="50">
        <v>1.2</v>
      </c>
      <c r="F7" s="50">
        <v>200</v>
      </c>
      <c r="G7" s="6">
        <f>B24</f>
        <v>663.32442628610556</v>
      </c>
      <c r="H7" s="7">
        <f>(E7*F7*G7)/86400</f>
        <v>1.8425678507947376</v>
      </c>
      <c r="R7" s="64" t="s">
        <v>11</v>
      </c>
      <c r="S7" s="64"/>
      <c r="T7" s="64"/>
      <c r="X7" s="50" t="s">
        <v>28</v>
      </c>
      <c r="Y7" s="50" t="s">
        <v>53</v>
      </c>
      <c r="Z7" s="50">
        <v>2</v>
      </c>
    </row>
    <row r="8" spans="1:26" x14ac:dyDescent="0.25">
      <c r="A8" s="2">
        <v>4</v>
      </c>
      <c r="B8" s="5">
        <f t="shared" si="0"/>
        <v>303.87656250000003</v>
      </c>
      <c r="H8" s="50">
        <f>H7*1.75</f>
        <v>3.2244937388907911</v>
      </c>
      <c r="J8" s="64" t="s">
        <v>12</v>
      </c>
      <c r="K8" s="64"/>
      <c r="L8" s="64"/>
      <c r="N8" s="8">
        <f>N9/N10</f>
        <v>3.5584604212055192E-2</v>
      </c>
      <c r="O8" s="50" t="s">
        <v>13</v>
      </c>
      <c r="R8" s="64" t="s">
        <v>14</v>
      </c>
      <c r="S8" s="64"/>
      <c r="T8" s="64"/>
      <c r="U8" s="64"/>
      <c r="V8" s="50">
        <f xml:space="preserve"> 1000</f>
        <v>1000</v>
      </c>
      <c r="X8" s="50" t="s">
        <v>29</v>
      </c>
      <c r="Y8" s="50" t="s">
        <v>53</v>
      </c>
      <c r="Z8" s="50">
        <v>1</v>
      </c>
    </row>
    <row r="9" spans="1:26" x14ac:dyDescent="0.25">
      <c r="A9" s="2">
        <v>5</v>
      </c>
      <c r="B9" s="5">
        <f t="shared" si="0"/>
        <v>319.07039062500007</v>
      </c>
      <c r="J9" s="64" t="s">
        <v>15</v>
      </c>
      <c r="K9" s="64"/>
      <c r="L9" s="64"/>
      <c r="M9" s="64"/>
      <c r="N9" s="9">
        <v>49</v>
      </c>
      <c r="O9" s="50" t="s">
        <v>16</v>
      </c>
      <c r="R9" s="64" t="s">
        <v>17</v>
      </c>
      <c r="S9" s="64"/>
      <c r="X9" s="50" t="s">
        <v>54</v>
      </c>
      <c r="Y9" s="50" t="s">
        <v>53</v>
      </c>
      <c r="Z9" s="50">
        <v>4</v>
      </c>
    </row>
    <row r="10" spans="1:26" x14ac:dyDescent="0.25">
      <c r="A10" s="2">
        <v>6</v>
      </c>
      <c r="B10" s="5">
        <f t="shared" si="0"/>
        <v>335.02391015625011</v>
      </c>
      <c r="J10" s="64" t="s">
        <v>18</v>
      </c>
      <c r="K10" s="64"/>
      <c r="L10" s="64"/>
      <c r="N10" s="9">
        <v>1377</v>
      </c>
      <c r="O10" s="50" t="s">
        <v>16</v>
      </c>
      <c r="R10" s="64" t="s">
        <v>19</v>
      </c>
      <c r="S10" s="64"/>
      <c r="T10" s="64"/>
      <c r="X10" s="50" t="s">
        <v>55</v>
      </c>
      <c r="Y10" s="50" t="s">
        <v>53</v>
      </c>
      <c r="Z10" s="50">
        <v>5</v>
      </c>
    </row>
    <row r="11" spans="1:26" x14ac:dyDescent="0.25">
      <c r="A11" s="2">
        <v>7</v>
      </c>
      <c r="B11" s="5">
        <f t="shared" si="0"/>
        <v>351.77510566406261</v>
      </c>
      <c r="R11" s="61" t="s">
        <v>20</v>
      </c>
      <c r="S11" s="61"/>
      <c r="T11" s="61"/>
      <c r="V11" s="10">
        <v>0.7</v>
      </c>
      <c r="X11" s="50" t="s">
        <v>56</v>
      </c>
      <c r="Y11" s="50" t="s">
        <v>16</v>
      </c>
      <c r="Z11" s="50">
        <v>1377</v>
      </c>
    </row>
    <row r="12" spans="1:26" x14ac:dyDescent="0.25">
      <c r="A12" s="2">
        <v>8</v>
      </c>
      <c r="B12" s="5">
        <f t="shared" si="0"/>
        <v>369.36386094726578</v>
      </c>
      <c r="D12" s="50">
        <f>50*5</f>
        <v>250</v>
      </c>
      <c r="R12" s="50" t="s">
        <v>21</v>
      </c>
      <c r="S12" s="50">
        <f>V8*N27*(N9+M21)/(75*0.7)</f>
        <v>3.8202573439810896</v>
      </c>
      <c r="T12" s="50" t="s">
        <v>22</v>
      </c>
      <c r="X12" s="31" t="s">
        <v>59</v>
      </c>
      <c r="Y12" s="50" t="s">
        <v>53</v>
      </c>
      <c r="Z12" s="32">
        <v>1</v>
      </c>
    </row>
    <row r="13" spans="1:26" ht="15.75" x14ac:dyDescent="0.25">
      <c r="A13" s="2">
        <v>9</v>
      </c>
      <c r="B13" s="5">
        <f t="shared" si="0"/>
        <v>387.83205399462906</v>
      </c>
      <c r="J13" s="62" t="s">
        <v>23</v>
      </c>
      <c r="K13" s="62"/>
      <c r="L13" s="62"/>
      <c r="M13" s="62"/>
      <c r="N13" s="62"/>
      <c r="O13" s="62"/>
      <c r="P13" s="62"/>
      <c r="Q13" s="11"/>
      <c r="X13" s="33" t="s">
        <v>60</v>
      </c>
      <c r="Y13" s="50" t="s">
        <v>53</v>
      </c>
      <c r="Z13" s="32">
        <v>2</v>
      </c>
    </row>
    <row r="14" spans="1:26" x14ac:dyDescent="0.25">
      <c r="A14" s="2">
        <v>10</v>
      </c>
      <c r="B14" s="5">
        <f t="shared" si="0"/>
        <v>407.22365669436056</v>
      </c>
      <c r="X14" s="34" t="s">
        <v>64</v>
      </c>
      <c r="Y14" s="50" t="s">
        <v>53</v>
      </c>
      <c r="Z14" s="41">
        <v>1</v>
      </c>
    </row>
    <row r="15" spans="1:26" ht="15" customHeight="1" x14ac:dyDescent="0.25">
      <c r="A15" s="2">
        <v>11</v>
      </c>
      <c r="B15" s="5">
        <f t="shared" si="0"/>
        <v>427.58483952907858</v>
      </c>
      <c r="J15" s="12" t="s">
        <v>24</v>
      </c>
      <c r="K15" s="12" t="s">
        <v>25</v>
      </c>
      <c r="L15" s="12" t="s">
        <v>26</v>
      </c>
      <c r="M15" s="13" t="s">
        <v>27</v>
      </c>
      <c r="X15" s="50" t="s">
        <v>65</v>
      </c>
      <c r="Y15" s="50" t="s">
        <v>53</v>
      </c>
      <c r="Z15" s="35">
        <v>1</v>
      </c>
    </row>
    <row r="16" spans="1:26" ht="15" customHeight="1" x14ac:dyDescent="0.25">
      <c r="A16" s="2">
        <v>12</v>
      </c>
      <c r="B16" s="5">
        <f t="shared" si="0"/>
        <v>448.96408150553253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51" t="s">
        <v>93</v>
      </c>
      <c r="Y16" s="51"/>
      <c r="Z16" s="51"/>
    </row>
    <row r="17" spans="1:29" x14ac:dyDescent="0.25">
      <c r="A17" s="2">
        <v>13</v>
      </c>
      <c r="B17" s="5">
        <f t="shared" si="0"/>
        <v>471.41228558080917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50" t="s">
        <v>51</v>
      </c>
      <c r="Y17" s="50" t="s">
        <v>52</v>
      </c>
      <c r="Z17" s="50" t="s">
        <v>25</v>
      </c>
    </row>
    <row r="18" spans="1:29" x14ac:dyDescent="0.25">
      <c r="A18" s="2">
        <v>14</v>
      </c>
      <c r="B18" s="5">
        <f t="shared" si="0"/>
        <v>494.98289985984962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</row>
    <row r="19" spans="1:29" x14ac:dyDescent="0.25">
      <c r="A19" s="2">
        <v>15</v>
      </c>
      <c r="B19" s="5">
        <f t="shared" si="0"/>
        <v>519.73204485284214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50" t="s">
        <v>68</v>
      </c>
      <c r="Y19" s="50" t="s">
        <v>69</v>
      </c>
      <c r="Z19" s="50">
        <v>90</v>
      </c>
    </row>
    <row r="20" spans="1:29" x14ac:dyDescent="0.25">
      <c r="A20" s="2">
        <v>16</v>
      </c>
      <c r="B20" s="5">
        <f t="shared" si="0"/>
        <v>545.71864709548424</v>
      </c>
      <c r="J20" s="15"/>
      <c r="K20" s="16"/>
      <c r="L20" s="14"/>
      <c r="M20" s="14"/>
      <c r="X20" s="50" t="s">
        <v>70</v>
      </c>
      <c r="Y20" s="50" t="s">
        <v>71</v>
      </c>
      <c r="Z20" s="50">
        <v>8</v>
      </c>
    </row>
    <row r="21" spans="1:29" x14ac:dyDescent="0.25">
      <c r="A21" s="2">
        <v>17</v>
      </c>
      <c r="B21" s="5">
        <f t="shared" si="0"/>
        <v>573.00457945025846</v>
      </c>
      <c r="L21" s="17" t="s">
        <v>32</v>
      </c>
      <c r="M21" s="50">
        <f>SUM(M16:M20)</f>
        <v>13.200000000000001</v>
      </c>
      <c r="X21" s="50" t="s">
        <v>72</v>
      </c>
      <c r="Y21" s="50" t="s">
        <v>73</v>
      </c>
      <c r="Z21" s="50">
        <v>380</v>
      </c>
    </row>
    <row r="22" spans="1:29" x14ac:dyDescent="0.25">
      <c r="A22" s="2">
        <v>18</v>
      </c>
      <c r="B22" s="5">
        <f t="shared" si="0"/>
        <v>601.65480842277145</v>
      </c>
      <c r="X22" s="50" t="s">
        <v>74</v>
      </c>
      <c r="Y22" s="50" t="s">
        <v>75</v>
      </c>
      <c r="Z22" s="50">
        <v>450</v>
      </c>
    </row>
    <row r="23" spans="1:29" x14ac:dyDescent="0.25">
      <c r="A23" s="2">
        <v>19</v>
      </c>
      <c r="B23" s="5">
        <f t="shared" si="0"/>
        <v>631.73754884391008</v>
      </c>
      <c r="X23" s="50" t="s">
        <v>76</v>
      </c>
      <c r="Y23" s="50" t="s">
        <v>75</v>
      </c>
      <c r="Z23" s="50">
        <v>450</v>
      </c>
    </row>
    <row r="24" spans="1:29" x14ac:dyDescent="0.25">
      <c r="A24" s="18">
        <v>20</v>
      </c>
      <c r="B24" s="19">
        <f t="shared" si="0"/>
        <v>663.32442628610556</v>
      </c>
      <c r="X24" s="50" t="s">
        <v>77</v>
      </c>
      <c r="Y24" s="50" t="s">
        <v>73</v>
      </c>
      <c r="Z24" s="50">
        <v>10</v>
      </c>
    </row>
    <row r="25" spans="1:29" x14ac:dyDescent="0.25">
      <c r="X25" s="50" t="s">
        <v>78</v>
      </c>
      <c r="Y25" s="50" t="s">
        <v>71</v>
      </c>
      <c r="Z25" s="50">
        <v>140</v>
      </c>
    </row>
    <row r="26" spans="1:29" ht="15.75" x14ac:dyDescent="0.25">
      <c r="X26" s="48" t="s">
        <v>79</v>
      </c>
      <c r="Y26" s="36"/>
      <c r="Z26" s="36"/>
    </row>
    <row r="27" spans="1:29" x14ac:dyDescent="0.25">
      <c r="J27" s="50" t="s">
        <v>33</v>
      </c>
      <c r="N27" s="7">
        <f>H8/1000</f>
        <v>3.2244937388907912E-3</v>
      </c>
      <c r="Y27" s="50" t="s">
        <v>52</v>
      </c>
      <c r="Z27" s="50" t="s">
        <v>25</v>
      </c>
      <c r="AC27" s="50">
        <v>0.48</v>
      </c>
    </row>
    <row r="28" spans="1:29" x14ac:dyDescent="0.25">
      <c r="J28" s="63" t="s">
        <v>34</v>
      </c>
      <c r="K28" s="63"/>
      <c r="L28" s="63"/>
      <c r="N28" s="7">
        <v>140</v>
      </c>
      <c r="X28" s="37" t="s">
        <v>80</v>
      </c>
      <c r="Y28" s="50" t="s">
        <v>16</v>
      </c>
      <c r="Z28" s="50">
        <f>Z11</f>
        <v>1377</v>
      </c>
      <c r="AA28" s="50">
        <f>Z28</f>
        <v>1377</v>
      </c>
    </row>
    <row r="29" spans="1:29" x14ac:dyDescent="0.25">
      <c r="J29" s="50" t="s">
        <v>35</v>
      </c>
      <c r="N29" s="50">
        <v>0.05</v>
      </c>
      <c r="X29" s="39" t="s">
        <v>83</v>
      </c>
      <c r="Y29" s="39" t="s">
        <v>71</v>
      </c>
      <c r="Z29" s="50">
        <f>AA29*AC27</f>
        <v>495.71999999999997</v>
      </c>
      <c r="AA29" s="50">
        <f>0.75*AA28</f>
        <v>1032.75</v>
      </c>
    </row>
    <row r="30" spans="1:29" x14ac:dyDescent="0.25">
      <c r="J30" s="64" t="s">
        <v>36</v>
      </c>
      <c r="K30" s="64"/>
      <c r="N30" s="50">
        <f>M21</f>
        <v>13.200000000000001</v>
      </c>
      <c r="X30" s="50" t="s">
        <v>84</v>
      </c>
      <c r="Y30" s="39" t="s">
        <v>71</v>
      </c>
      <c r="Z30" s="50">
        <f>AA30*AC27</f>
        <v>132.19200000000001</v>
      </c>
      <c r="AA30" s="50">
        <f>0.2*AA28</f>
        <v>275.40000000000003</v>
      </c>
    </row>
    <row r="31" spans="1:29" x14ac:dyDescent="0.25">
      <c r="J31" s="64" t="s">
        <v>37</v>
      </c>
      <c r="K31" s="64"/>
      <c r="N31" s="50">
        <f>10.643*((N27/N28)^1.852)*(N30/(N29^4.87))</f>
        <v>0.78468566451561061</v>
      </c>
      <c r="X31" s="50" t="s">
        <v>85</v>
      </c>
      <c r="Y31" s="39" t="s">
        <v>71</v>
      </c>
      <c r="Z31" s="50">
        <f>AA31*AC27</f>
        <v>33.048000000000002</v>
      </c>
      <c r="AA31" s="50">
        <f>0.05*AA28</f>
        <v>68.850000000000009</v>
      </c>
    </row>
    <row r="32" spans="1:29" ht="30" x14ac:dyDescent="0.25">
      <c r="X32" s="40" t="s">
        <v>86</v>
      </c>
      <c r="Y32" s="50" t="s">
        <v>53</v>
      </c>
      <c r="Z32" s="50">
        <v>1</v>
      </c>
    </row>
    <row r="33" spans="10:26" x14ac:dyDescent="0.25">
      <c r="X33" s="50" t="s">
        <v>87</v>
      </c>
      <c r="Y33" s="50" t="s">
        <v>88</v>
      </c>
      <c r="Z33" s="50">
        <v>300</v>
      </c>
    </row>
    <row r="34" spans="10:26" ht="15.75" x14ac:dyDescent="0.25">
      <c r="J34" s="62" t="s">
        <v>38</v>
      </c>
      <c r="K34" s="62"/>
      <c r="L34" s="62"/>
      <c r="X34" s="50" t="s">
        <v>89</v>
      </c>
      <c r="Y34" s="50" t="s">
        <v>88</v>
      </c>
      <c r="Z34" s="50">
        <v>90</v>
      </c>
    </row>
    <row r="35" spans="10:26" x14ac:dyDescent="0.25">
      <c r="X35" s="50" t="s">
        <v>90</v>
      </c>
      <c r="Y35" s="50" t="s">
        <v>88</v>
      </c>
      <c r="Z35" s="50">
        <v>400</v>
      </c>
    </row>
    <row r="42" spans="10:26" x14ac:dyDescent="0.25">
      <c r="K42" s="50" t="s">
        <v>39</v>
      </c>
      <c r="L42" s="50">
        <f>((10.643*((N27/N28)^1.852))/N8)^(1/4.87)</f>
        <v>5.5556098462740178E-2</v>
      </c>
      <c r="M42" s="50" t="s">
        <v>16</v>
      </c>
    </row>
    <row r="45" spans="10:26" x14ac:dyDescent="0.25">
      <c r="J45" s="57" t="s">
        <v>40</v>
      </c>
      <c r="K45" s="57"/>
      <c r="L45" s="57"/>
      <c r="M45" s="57"/>
      <c r="N45" s="57"/>
    </row>
    <row r="46" spans="10:26" x14ac:dyDescent="0.25">
      <c r="J46" s="57"/>
      <c r="K46" s="57"/>
      <c r="L46" s="57"/>
      <c r="M46" s="57"/>
      <c r="N46" s="57"/>
    </row>
    <row r="47" spans="10:26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s="50" t="s">
        <v>48</v>
      </c>
      <c r="L62" s="50">
        <v>1.2</v>
      </c>
    </row>
    <row r="63" spans="10:14" x14ac:dyDescent="0.25">
      <c r="K63" s="50" t="s">
        <v>39</v>
      </c>
      <c r="L63" s="50">
        <f>L61^(1/4)*L62*(N27^0.5)</f>
        <v>5.7299986035557367E-2</v>
      </c>
    </row>
  </sheetData>
  <mergeCells count="24">
    <mergeCell ref="A2:B2"/>
    <mergeCell ref="A1:C1"/>
    <mergeCell ref="E1:H1"/>
    <mergeCell ref="J1:O1"/>
    <mergeCell ref="R1:U1"/>
    <mergeCell ref="X1:Z1"/>
    <mergeCell ref="J3:N3"/>
    <mergeCell ref="R7:T7"/>
    <mergeCell ref="J8:L8"/>
    <mergeCell ref="R8:U8"/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6145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6145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1" workbookViewId="0">
      <selection activeCell="X37" sqref="X37"/>
    </sheetView>
  </sheetViews>
  <sheetFormatPr defaultRowHeight="15" x14ac:dyDescent="0.25"/>
  <cols>
    <col min="1" max="1" width="9.5703125" style="52" customWidth="1"/>
    <col min="2" max="2" width="11.7109375" style="52" customWidth="1"/>
    <col min="3" max="9" width="9.140625" style="52"/>
    <col min="10" max="10" width="18.85546875" style="52" bestFit="1" customWidth="1"/>
    <col min="11" max="11" width="11.5703125" style="52" customWidth="1"/>
    <col min="12" max="12" width="9.140625" style="52"/>
    <col min="13" max="13" width="9.140625" style="52" customWidth="1"/>
    <col min="14" max="14" width="9.5703125" style="52" bestFit="1" customWidth="1"/>
    <col min="15" max="23" width="9.140625" style="52"/>
    <col min="24" max="24" width="78.85546875" style="52" customWidth="1"/>
    <col min="25" max="25" width="9.140625" style="52"/>
    <col min="26" max="26" width="11.42578125" style="52" bestFit="1" customWidth="1"/>
    <col min="27" max="29" width="9.140625" style="52" hidden="1" customWidth="1"/>
    <col min="30" max="16384" width="9.140625" style="52"/>
  </cols>
  <sheetData>
    <row r="1" spans="1:26" ht="15.75" x14ac:dyDescent="0.25">
      <c r="A1" s="65" t="s">
        <v>0</v>
      </c>
      <c r="B1" s="66"/>
      <c r="C1" s="66"/>
      <c r="D1" s="1"/>
      <c r="E1" s="62" t="s">
        <v>1</v>
      </c>
      <c r="F1" s="62"/>
      <c r="G1" s="62"/>
      <c r="H1" s="67"/>
      <c r="J1" s="62" t="s">
        <v>2</v>
      </c>
      <c r="K1" s="62"/>
      <c r="L1" s="62"/>
      <c r="M1" s="62"/>
      <c r="N1" s="62"/>
      <c r="O1" s="62"/>
      <c r="R1" s="68" t="s">
        <v>3</v>
      </c>
      <c r="S1" s="68"/>
      <c r="T1" s="68"/>
      <c r="U1" s="68"/>
      <c r="X1" s="62" t="s">
        <v>49</v>
      </c>
      <c r="Y1" s="62"/>
      <c r="Z1" s="62"/>
    </row>
    <row r="2" spans="1:26" x14ac:dyDescent="0.25">
      <c r="A2" s="69" t="s">
        <v>102</v>
      </c>
      <c r="B2" s="64"/>
    </row>
    <row r="3" spans="1:26" ht="15.75" x14ac:dyDescent="0.25">
      <c r="A3" s="2" t="s">
        <v>4</v>
      </c>
      <c r="B3" s="3" t="s">
        <v>5</v>
      </c>
      <c r="J3" s="62" t="s">
        <v>6</v>
      </c>
      <c r="K3" s="62"/>
      <c r="L3" s="62"/>
      <c r="M3" s="62"/>
      <c r="N3" s="62"/>
      <c r="X3" s="54" t="s">
        <v>50</v>
      </c>
    </row>
    <row r="4" spans="1:26" x14ac:dyDescent="0.25">
      <c r="A4" s="2">
        <v>0</v>
      </c>
      <c r="B4" s="4">
        <v>125</v>
      </c>
    </row>
    <row r="5" spans="1:26" x14ac:dyDescent="0.25">
      <c r="A5" s="2">
        <v>1</v>
      </c>
      <c r="B5" s="5">
        <f>B4*1.05</f>
        <v>131.25</v>
      </c>
      <c r="X5" s="52" t="s">
        <v>51</v>
      </c>
      <c r="Y5" s="52" t="s">
        <v>52</v>
      </c>
      <c r="Z5" s="52" t="s">
        <v>25</v>
      </c>
    </row>
    <row r="6" spans="1:26" x14ac:dyDescent="0.25">
      <c r="A6" s="2">
        <v>2</v>
      </c>
      <c r="B6" s="5">
        <f t="shared" ref="B6:B24" si="0">B5*1.05</f>
        <v>137.8125</v>
      </c>
      <c r="E6" s="52" t="s">
        <v>7</v>
      </c>
      <c r="F6" s="52" t="s">
        <v>8</v>
      </c>
      <c r="G6" s="52" t="s">
        <v>9</v>
      </c>
      <c r="H6" s="52" t="s">
        <v>10</v>
      </c>
    </row>
    <row r="7" spans="1:26" x14ac:dyDescent="0.25">
      <c r="A7" s="2">
        <v>3</v>
      </c>
      <c r="B7" s="5">
        <f t="shared" si="0"/>
        <v>144.703125</v>
      </c>
      <c r="E7" s="52">
        <v>1.2</v>
      </c>
      <c r="F7" s="52">
        <v>200</v>
      </c>
      <c r="G7" s="6">
        <f>B24</f>
        <v>331.66221314305278</v>
      </c>
      <c r="H7" s="7">
        <f>(E7*F7*G7)/86400</f>
        <v>0.92128392539736881</v>
      </c>
      <c r="R7" s="64" t="s">
        <v>11</v>
      </c>
      <c r="S7" s="64"/>
      <c r="T7" s="64"/>
      <c r="X7" s="52" t="s">
        <v>28</v>
      </c>
      <c r="Y7" s="52" t="s">
        <v>53</v>
      </c>
      <c r="Z7" s="52">
        <v>2</v>
      </c>
    </row>
    <row r="8" spans="1:26" x14ac:dyDescent="0.25">
      <c r="A8" s="2">
        <v>4</v>
      </c>
      <c r="B8" s="5">
        <f t="shared" si="0"/>
        <v>151.93828125000002</v>
      </c>
      <c r="H8" s="52">
        <f>H7*1.75</f>
        <v>1.6122468694453955</v>
      </c>
      <c r="J8" s="64" t="s">
        <v>12</v>
      </c>
      <c r="K8" s="64"/>
      <c r="L8" s="64"/>
      <c r="N8" s="8">
        <f>N9/N10</f>
        <v>0.1</v>
      </c>
      <c r="O8" s="52" t="s">
        <v>13</v>
      </c>
      <c r="R8" s="64" t="s">
        <v>14</v>
      </c>
      <c r="S8" s="64"/>
      <c r="T8" s="64"/>
      <c r="U8" s="64"/>
      <c r="V8" s="52">
        <f xml:space="preserve"> 1000</f>
        <v>1000</v>
      </c>
      <c r="X8" s="52" t="s">
        <v>29</v>
      </c>
      <c r="Y8" s="52" t="s">
        <v>53</v>
      </c>
      <c r="Z8" s="52">
        <v>1</v>
      </c>
    </row>
    <row r="9" spans="1:26" x14ac:dyDescent="0.25">
      <c r="A9" s="2">
        <v>5</v>
      </c>
      <c r="B9" s="5">
        <f t="shared" si="0"/>
        <v>159.53519531250004</v>
      </c>
      <c r="J9" s="64" t="s">
        <v>15</v>
      </c>
      <c r="K9" s="64"/>
      <c r="L9" s="64"/>
      <c r="M9" s="64"/>
      <c r="N9" s="9">
        <v>1</v>
      </c>
      <c r="O9" s="52" t="s">
        <v>16</v>
      </c>
      <c r="R9" s="64" t="s">
        <v>17</v>
      </c>
      <c r="S9" s="64"/>
      <c r="X9" s="52" t="s">
        <v>54</v>
      </c>
      <c r="Y9" s="52" t="s">
        <v>53</v>
      </c>
      <c r="Z9" s="52">
        <v>4</v>
      </c>
    </row>
    <row r="10" spans="1:26" x14ac:dyDescent="0.25">
      <c r="A10" s="2">
        <v>6</v>
      </c>
      <c r="B10" s="5">
        <f t="shared" si="0"/>
        <v>167.51195507812506</v>
      </c>
      <c r="J10" s="64" t="s">
        <v>18</v>
      </c>
      <c r="K10" s="64"/>
      <c r="L10" s="64"/>
      <c r="N10" s="9">
        <v>10</v>
      </c>
      <c r="O10" s="52" t="s">
        <v>16</v>
      </c>
      <c r="R10" s="64" t="s">
        <v>19</v>
      </c>
      <c r="S10" s="64"/>
      <c r="T10" s="64"/>
      <c r="X10" s="52" t="s">
        <v>55</v>
      </c>
      <c r="Y10" s="52" t="s">
        <v>53</v>
      </c>
      <c r="Z10" s="52">
        <v>5</v>
      </c>
    </row>
    <row r="11" spans="1:26" x14ac:dyDescent="0.25">
      <c r="A11" s="2">
        <v>7</v>
      </c>
      <c r="B11" s="5">
        <f t="shared" si="0"/>
        <v>175.8875528320313</v>
      </c>
      <c r="R11" s="61" t="s">
        <v>20</v>
      </c>
      <c r="S11" s="61"/>
      <c r="T11" s="61"/>
      <c r="V11" s="10">
        <v>0.7</v>
      </c>
      <c r="X11" s="52" t="s">
        <v>56</v>
      </c>
      <c r="Y11" s="52" t="s">
        <v>16</v>
      </c>
      <c r="Z11" s="52">
        <v>10</v>
      </c>
    </row>
    <row r="12" spans="1:26" x14ac:dyDescent="0.25">
      <c r="A12" s="2">
        <v>8</v>
      </c>
      <c r="B12" s="5">
        <f t="shared" si="0"/>
        <v>184.68193047363289</v>
      </c>
      <c r="D12" s="52">
        <f>25*5</f>
        <v>125</v>
      </c>
      <c r="R12" s="52" t="s">
        <v>21</v>
      </c>
      <c r="S12" s="52">
        <f>V8*N27*(N9+M21)/(75*0.7)</f>
        <v>0.43607439135475462</v>
      </c>
      <c r="T12" s="52" t="s">
        <v>22</v>
      </c>
      <c r="X12" s="31" t="s">
        <v>59</v>
      </c>
      <c r="Y12" s="52" t="s">
        <v>53</v>
      </c>
      <c r="Z12" s="32">
        <v>1</v>
      </c>
    </row>
    <row r="13" spans="1:26" ht="15.75" x14ac:dyDescent="0.25">
      <c r="A13" s="2">
        <v>9</v>
      </c>
      <c r="B13" s="5">
        <f t="shared" si="0"/>
        <v>193.91602699731453</v>
      </c>
      <c r="J13" s="62" t="s">
        <v>23</v>
      </c>
      <c r="K13" s="62"/>
      <c r="L13" s="62"/>
      <c r="M13" s="62"/>
      <c r="N13" s="62"/>
      <c r="O13" s="62"/>
      <c r="P13" s="62"/>
      <c r="Q13" s="11"/>
      <c r="X13" s="33" t="s">
        <v>60</v>
      </c>
      <c r="Y13" s="52" t="s">
        <v>53</v>
      </c>
      <c r="Z13" s="32">
        <v>2</v>
      </c>
    </row>
    <row r="14" spans="1:26" x14ac:dyDescent="0.25">
      <c r="A14" s="2">
        <v>10</v>
      </c>
      <c r="B14" s="5">
        <f t="shared" si="0"/>
        <v>203.61182834718028</v>
      </c>
      <c r="X14" s="34" t="s">
        <v>64</v>
      </c>
      <c r="Y14" s="52" t="s">
        <v>53</v>
      </c>
      <c r="Z14" s="41">
        <v>1</v>
      </c>
    </row>
    <row r="15" spans="1:26" ht="30" x14ac:dyDescent="0.25">
      <c r="A15" s="2">
        <v>11</v>
      </c>
      <c r="B15" s="5">
        <f t="shared" si="0"/>
        <v>213.79241976453929</v>
      </c>
      <c r="J15" s="12" t="s">
        <v>24</v>
      </c>
      <c r="K15" s="12" t="s">
        <v>25</v>
      </c>
      <c r="L15" s="12" t="s">
        <v>26</v>
      </c>
      <c r="M15" s="13" t="s">
        <v>27</v>
      </c>
      <c r="X15" s="52" t="s">
        <v>65</v>
      </c>
      <c r="Y15" s="52" t="s">
        <v>53</v>
      </c>
      <c r="Z15" s="35">
        <v>1</v>
      </c>
    </row>
    <row r="16" spans="1:26" ht="15.75" x14ac:dyDescent="0.25">
      <c r="A16" s="2">
        <v>12</v>
      </c>
      <c r="B16" s="5">
        <f t="shared" si="0"/>
        <v>224.48204075276627</v>
      </c>
      <c r="J16" s="12" t="s">
        <v>28</v>
      </c>
      <c r="K16" s="14">
        <v>1</v>
      </c>
      <c r="L16" s="14">
        <v>0.4</v>
      </c>
      <c r="M16" s="14">
        <f>L16*K16</f>
        <v>0.4</v>
      </c>
      <c r="X16" s="54" t="s">
        <v>67</v>
      </c>
      <c r="Y16" s="54"/>
      <c r="Z16" s="54"/>
    </row>
    <row r="17" spans="1:29" x14ac:dyDescent="0.25">
      <c r="A17" s="2">
        <v>13</v>
      </c>
      <c r="B17" s="5">
        <f t="shared" si="0"/>
        <v>235.70614279040458</v>
      </c>
      <c r="J17" s="12" t="s">
        <v>29</v>
      </c>
      <c r="K17" s="14">
        <v>1</v>
      </c>
      <c r="L17" s="14">
        <v>6.4</v>
      </c>
      <c r="M17" s="14">
        <f t="shared" ref="M17:M19" si="1">L17*K17</f>
        <v>6.4</v>
      </c>
      <c r="X17" s="52" t="s">
        <v>51</v>
      </c>
      <c r="Y17" s="52" t="s">
        <v>52</v>
      </c>
      <c r="Z17" s="52" t="s">
        <v>25</v>
      </c>
    </row>
    <row r="18" spans="1:29" x14ac:dyDescent="0.25">
      <c r="A18" s="2">
        <v>14</v>
      </c>
      <c r="B18" s="5">
        <f t="shared" si="0"/>
        <v>247.49144992992481</v>
      </c>
      <c r="J18" s="12" t="s">
        <v>30</v>
      </c>
      <c r="K18" s="14">
        <v>4</v>
      </c>
      <c r="L18" s="14">
        <v>1.1000000000000001</v>
      </c>
      <c r="M18" s="14">
        <f t="shared" si="1"/>
        <v>4.4000000000000004</v>
      </c>
    </row>
    <row r="19" spans="1:29" x14ac:dyDescent="0.25">
      <c r="A19" s="2">
        <v>15</v>
      </c>
      <c r="B19" s="5">
        <f t="shared" si="0"/>
        <v>259.86602242642107</v>
      </c>
      <c r="J19" s="12" t="s">
        <v>31</v>
      </c>
      <c r="K19" s="14">
        <v>5</v>
      </c>
      <c r="L19" s="14">
        <v>0.4</v>
      </c>
      <c r="M19" s="14">
        <f t="shared" si="1"/>
        <v>2</v>
      </c>
      <c r="X19" s="52" t="s">
        <v>68</v>
      </c>
      <c r="Y19" s="52" t="s">
        <v>69</v>
      </c>
      <c r="Z19" s="52">
        <v>90</v>
      </c>
    </row>
    <row r="20" spans="1:29" x14ac:dyDescent="0.25">
      <c r="A20" s="2">
        <v>16</v>
      </c>
      <c r="B20" s="5">
        <f t="shared" si="0"/>
        <v>272.85932354774212</v>
      </c>
      <c r="J20" s="15"/>
      <c r="K20" s="16"/>
      <c r="L20" s="14"/>
      <c r="M20" s="14"/>
      <c r="X20" s="52" t="s">
        <v>70</v>
      </c>
      <c r="Y20" s="52" t="s">
        <v>71</v>
      </c>
      <c r="Z20" s="52">
        <v>8</v>
      </c>
    </row>
    <row r="21" spans="1:29" x14ac:dyDescent="0.25">
      <c r="A21" s="2">
        <v>17</v>
      </c>
      <c r="B21" s="5">
        <f t="shared" si="0"/>
        <v>286.50228972512923</v>
      </c>
      <c r="L21" s="17" t="s">
        <v>32</v>
      </c>
      <c r="M21" s="52">
        <f>SUM(M16:M20)</f>
        <v>13.200000000000001</v>
      </c>
      <c r="X21" s="52" t="s">
        <v>72</v>
      </c>
      <c r="Y21" s="52" t="s">
        <v>73</v>
      </c>
      <c r="Z21" s="52">
        <v>380</v>
      </c>
    </row>
    <row r="22" spans="1:29" x14ac:dyDescent="0.25">
      <c r="A22" s="2">
        <v>18</v>
      </c>
      <c r="B22" s="5">
        <f t="shared" si="0"/>
        <v>300.82740421138573</v>
      </c>
      <c r="X22" s="52" t="s">
        <v>74</v>
      </c>
      <c r="Y22" s="52" t="s">
        <v>75</v>
      </c>
      <c r="Z22" s="52">
        <v>450</v>
      </c>
    </row>
    <row r="23" spans="1:29" x14ac:dyDescent="0.25">
      <c r="A23" s="2">
        <v>19</v>
      </c>
      <c r="B23" s="5">
        <f t="shared" si="0"/>
        <v>315.86877442195504</v>
      </c>
      <c r="X23" s="52" t="s">
        <v>76</v>
      </c>
      <c r="Y23" s="52" t="s">
        <v>75</v>
      </c>
      <c r="Z23" s="52">
        <v>450</v>
      </c>
    </row>
    <row r="24" spans="1:29" x14ac:dyDescent="0.25">
      <c r="A24" s="18">
        <v>20</v>
      </c>
      <c r="B24" s="19">
        <f t="shared" si="0"/>
        <v>331.66221314305278</v>
      </c>
      <c r="X24" s="52" t="s">
        <v>77</v>
      </c>
      <c r="Y24" s="52" t="s">
        <v>73</v>
      </c>
      <c r="Z24" s="52">
        <v>10</v>
      </c>
    </row>
    <row r="25" spans="1:29" x14ac:dyDescent="0.25">
      <c r="X25" s="52" t="s">
        <v>78</v>
      </c>
      <c r="Y25" s="52" t="s">
        <v>71</v>
      </c>
      <c r="Z25" s="52">
        <v>140</v>
      </c>
    </row>
    <row r="26" spans="1:29" ht="15.75" x14ac:dyDescent="0.25">
      <c r="X26" s="53" t="s">
        <v>79</v>
      </c>
      <c r="Y26" s="55"/>
      <c r="Z26" s="55"/>
    </row>
    <row r="27" spans="1:29" x14ac:dyDescent="0.25">
      <c r="J27" s="52" t="s">
        <v>33</v>
      </c>
      <c r="N27" s="7">
        <f>H8/1000</f>
        <v>1.6122468694453956E-3</v>
      </c>
      <c r="Y27" s="52" t="s">
        <v>52</v>
      </c>
      <c r="Z27" s="52" t="s">
        <v>25</v>
      </c>
      <c r="AC27" s="52">
        <v>0.48</v>
      </c>
    </row>
    <row r="28" spans="1:29" x14ac:dyDescent="0.25">
      <c r="J28" s="63" t="s">
        <v>34</v>
      </c>
      <c r="K28" s="63"/>
      <c r="L28" s="63"/>
      <c r="N28" s="7">
        <v>140</v>
      </c>
      <c r="X28" s="37" t="s">
        <v>80</v>
      </c>
      <c r="Y28" s="52" t="s">
        <v>16</v>
      </c>
      <c r="Z28" s="52">
        <f>Z11</f>
        <v>10</v>
      </c>
      <c r="AA28" s="52">
        <f>Z28</f>
        <v>10</v>
      </c>
    </row>
    <row r="29" spans="1:29" x14ac:dyDescent="0.25">
      <c r="J29" s="52" t="s">
        <v>35</v>
      </c>
      <c r="N29" s="52">
        <v>0.05</v>
      </c>
      <c r="X29" s="39" t="s">
        <v>83</v>
      </c>
      <c r="Y29" s="39" t="s">
        <v>71</v>
      </c>
      <c r="Z29" s="52">
        <f>AA29*AC27</f>
        <v>3.5999999999999996</v>
      </c>
      <c r="AA29" s="52">
        <f>0.75*AA28</f>
        <v>7.5</v>
      </c>
    </row>
    <row r="30" spans="1:29" x14ac:dyDescent="0.25">
      <c r="J30" s="64" t="s">
        <v>36</v>
      </c>
      <c r="K30" s="64"/>
      <c r="N30" s="52">
        <f>M21</f>
        <v>13.200000000000001</v>
      </c>
      <c r="X30" s="52" t="s">
        <v>84</v>
      </c>
      <c r="Y30" s="39" t="s">
        <v>71</v>
      </c>
      <c r="Z30" s="52">
        <f>AA30*AC27</f>
        <v>0.96</v>
      </c>
      <c r="AA30" s="52">
        <f>0.2*AA28</f>
        <v>2</v>
      </c>
    </row>
    <row r="31" spans="1:29" x14ac:dyDescent="0.25">
      <c r="J31" s="64" t="s">
        <v>37</v>
      </c>
      <c r="K31" s="64"/>
      <c r="N31" s="52">
        <f>10.643*((N27/N28)^1.852)*(N30/(N29^4.87))</f>
        <v>0.21736427479729553</v>
      </c>
      <c r="X31" s="52" t="s">
        <v>85</v>
      </c>
      <c r="Y31" s="39" t="s">
        <v>71</v>
      </c>
      <c r="Z31" s="52">
        <f>AA31*AC27</f>
        <v>0.24</v>
      </c>
      <c r="AA31" s="52">
        <f>0.05*AA28</f>
        <v>0.5</v>
      </c>
    </row>
    <row r="32" spans="1:29" ht="30" x14ac:dyDescent="0.25">
      <c r="X32" s="40" t="s">
        <v>86</v>
      </c>
      <c r="Y32" s="52" t="s">
        <v>53</v>
      </c>
      <c r="Z32" s="52">
        <v>1</v>
      </c>
    </row>
    <row r="33" spans="10:26" x14ac:dyDescent="0.25">
      <c r="X33" s="52" t="s">
        <v>87</v>
      </c>
      <c r="Y33" s="52" t="s">
        <v>88</v>
      </c>
      <c r="Z33" s="52">
        <v>300</v>
      </c>
    </row>
    <row r="34" spans="10:26" ht="15.75" x14ac:dyDescent="0.25">
      <c r="J34" s="62" t="s">
        <v>38</v>
      </c>
      <c r="K34" s="62"/>
      <c r="L34" s="62"/>
      <c r="X34" s="52" t="s">
        <v>89</v>
      </c>
      <c r="Y34" s="52" t="s">
        <v>88</v>
      </c>
      <c r="Z34" s="52">
        <v>90</v>
      </c>
    </row>
    <row r="35" spans="10:26" x14ac:dyDescent="0.25">
      <c r="X35" s="52" t="s">
        <v>90</v>
      </c>
      <c r="Y35" s="52" t="s">
        <v>88</v>
      </c>
      <c r="Z35" s="52">
        <v>400</v>
      </c>
    </row>
    <row r="42" spans="10:26" x14ac:dyDescent="0.25">
      <c r="K42" s="52" t="s">
        <v>39</v>
      </c>
      <c r="L42" s="52">
        <f>((10.643*((N27/N28)^1.852))/N8)^(1/4.87)</f>
        <v>3.4523157088457657E-2</v>
      </c>
      <c r="M42" s="52" t="s">
        <v>16</v>
      </c>
    </row>
    <row r="45" spans="10:26" x14ac:dyDescent="0.25">
      <c r="J45" s="57" t="s">
        <v>40</v>
      </c>
      <c r="K45" s="57"/>
      <c r="L45" s="57"/>
      <c r="M45" s="57"/>
      <c r="N45" s="57"/>
    </row>
    <row r="46" spans="10:26" x14ac:dyDescent="0.25">
      <c r="J46" s="57"/>
      <c r="K46" s="57"/>
      <c r="L46" s="57"/>
      <c r="M46" s="57"/>
      <c r="N46" s="57"/>
    </row>
    <row r="47" spans="10:26" x14ac:dyDescent="0.25">
      <c r="J47" s="57"/>
      <c r="K47" s="57"/>
      <c r="L47" s="57"/>
      <c r="M47" s="57"/>
      <c r="N47" s="57"/>
    </row>
    <row r="50" spans="10:14" x14ac:dyDescent="0.25">
      <c r="J50" s="58" t="s">
        <v>41</v>
      </c>
      <c r="K50" s="58"/>
      <c r="L50" s="58"/>
      <c r="M50" s="58"/>
      <c r="N50" s="58"/>
    </row>
    <row r="51" spans="10:14" ht="15.75" x14ac:dyDescent="0.25">
      <c r="J51" s="20"/>
    </row>
    <row r="52" spans="10:14" ht="15.75" x14ac:dyDescent="0.25">
      <c r="J52" s="20"/>
    </row>
    <row r="53" spans="10:14" ht="15.75" x14ac:dyDescent="0.25">
      <c r="J53" s="20"/>
    </row>
    <row r="54" spans="10:14" ht="18" x14ac:dyDescent="0.25">
      <c r="J54" s="21" t="s">
        <v>42</v>
      </c>
    </row>
    <row r="55" spans="10:14" ht="15.75" x14ac:dyDescent="0.25">
      <c r="J55" s="20"/>
    </row>
    <row r="56" spans="10:14" x14ac:dyDescent="0.25">
      <c r="J56" s="22" t="s">
        <v>43</v>
      </c>
    </row>
    <row r="57" spans="10:14" x14ac:dyDescent="0.25">
      <c r="J57" s="22" t="s">
        <v>44</v>
      </c>
    </row>
    <row r="58" spans="10:14" x14ac:dyDescent="0.25">
      <c r="J58" s="59" t="s">
        <v>45</v>
      </c>
      <c r="K58" s="59"/>
      <c r="L58" s="59"/>
      <c r="M58" s="59"/>
      <c r="N58" s="59"/>
    </row>
    <row r="59" spans="10:14" x14ac:dyDescent="0.25">
      <c r="J59" s="60" t="s">
        <v>46</v>
      </c>
      <c r="K59" s="60"/>
      <c r="L59" s="60"/>
      <c r="M59" s="60"/>
      <c r="N59" s="60"/>
    </row>
    <row r="60" spans="10:14" x14ac:dyDescent="0.25">
      <c r="J60" s="23"/>
      <c r="K60" s="23"/>
      <c r="L60" s="23"/>
      <c r="M60" s="23"/>
      <c r="N60" s="23"/>
    </row>
    <row r="61" spans="10:14" x14ac:dyDescent="0.25">
      <c r="K61" s="24" t="s">
        <v>47</v>
      </c>
      <c r="L61" s="24">
        <v>0.5</v>
      </c>
      <c r="M61" s="24"/>
      <c r="N61" s="24"/>
    </row>
    <row r="62" spans="10:14" x14ac:dyDescent="0.25">
      <c r="K62" s="52" t="s">
        <v>48</v>
      </c>
      <c r="L62" s="52">
        <v>1.2</v>
      </c>
    </row>
    <row r="63" spans="10:14" x14ac:dyDescent="0.25">
      <c r="K63" s="52" t="s">
        <v>39</v>
      </c>
      <c r="L63" s="52">
        <f>L61^(1/4)*L62*(N27^0.5)</f>
        <v>4.0517208687637092E-2</v>
      </c>
    </row>
  </sheetData>
  <mergeCells count="24">
    <mergeCell ref="J9:M9"/>
    <mergeCell ref="R9:S9"/>
    <mergeCell ref="J59:N59"/>
    <mergeCell ref="J10:L10"/>
    <mergeCell ref="R10:T10"/>
    <mergeCell ref="R11:T11"/>
    <mergeCell ref="J13:P13"/>
    <mergeCell ref="J28:L28"/>
    <mergeCell ref="J30:K30"/>
    <mergeCell ref="J31:K31"/>
    <mergeCell ref="J34:L34"/>
    <mergeCell ref="J45:N47"/>
    <mergeCell ref="J50:N50"/>
    <mergeCell ref="J58:N58"/>
    <mergeCell ref="X1:Z1"/>
    <mergeCell ref="J3:N3"/>
    <mergeCell ref="R7:T7"/>
    <mergeCell ref="J8:L8"/>
    <mergeCell ref="R8:U8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7169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9525</xdr:rowOff>
              </to>
            </anchor>
          </objectPr>
        </oleObject>
      </mc:Choice>
      <mc:Fallback>
        <oleObject progId="Equation.3" shapeId="716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Patos - Pedrinhas</vt:lpstr>
      <vt:lpstr>Gramas</vt:lpstr>
      <vt:lpstr>Santo Antonio - Salinas</vt:lpstr>
      <vt:lpstr>Taquaril</vt:lpstr>
      <vt:lpstr>Serrinha</vt:lpstr>
      <vt:lpstr>Vila Benbedouro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BRUNO GUSMAO</cp:lastModifiedBy>
  <dcterms:created xsi:type="dcterms:W3CDTF">2012-09-13T22:59:49Z</dcterms:created>
  <dcterms:modified xsi:type="dcterms:W3CDTF">2012-10-29T17:11:43Z</dcterms:modified>
</cp:coreProperties>
</file>