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3.bin" ContentType="application/vnd.openxmlformats-officedocument.oleObject"/>
  <Default Extension="emf" ContentType="image/x-emf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drawings/drawing4.xml" ContentType="application/vnd.openxmlformats-officedocument.drawing+xml"/>
  <Override PartName="/xl/embeddings/oleObject20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0550" windowHeight="8115" activeTab="3"/>
  </bookViews>
  <sheets>
    <sheet name="Água Boa" sheetId="2" r:id="rId1"/>
    <sheet name="Leite" sheetId="4" r:id="rId2"/>
    <sheet name="Riacho dos Cavalos" sheetId="5" r:id="rId3"/>
    <sheet name="Veredinha" sheetId="6" r:id="rId4"/>
  </sheets>
  <calcPr calcId="124519"/>
</workbook>
</file>

<file path=xl/calcChain.xml><?xml version="1.0" encoding="utf-8"?>
<calcChain xmlns="http://schemas.openxmlformats.org/spreadsheetml/2006/main">
  <c r="D12" i="6"/>
  <c r="D12" i="5"/>
  <c r="Z37"/>
  <c r="Z36"/>
  <c r="AA35"/>
  <c r="AB38" s="1"/>
  <c r="Z40" s="1"/>
  <c r="Z35"/>
  <c r="AC33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Z37" i="6"/>
  <c r="Z36"/>
  <c r="Z35"/>
  <c r="AC33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AA35" l="1"/>
  <c r="AB38" s="1"/>
  <c r="Z40" s="1"/>
  <c r="L42" i="5"/>
  <c r="N31"/>
  <c r="L63"/>
  <c r="S12"/>
  <c r="AB36"/>
  <c r="Z38" s="1"/>
  <c r="AB37"/>
  <c r="Z39" s="1"/>
  <c r="L42" i="6"/>
  <c r="N31"/>
  <c r="L63"/>
  <c r="S12"/>
  <c r="AB36"/>
  <c r="Z38" s="1"/>
  <c r="AB37"/>
  <c r="Z39" s="1"/>
  <c r="D11" i="4"/>
  <c r="Z33"/>
  <c r="Z32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Z33" i="2"/>
  <c r="AA32" s="1"/>
  <c r="AB35" s="1"/>
  <c r="Z36" s="1"/>
  <c r="Z32"/>
  <c r="M19"/>
  <c r="M18"/>
  <c r="M17"/>
  <c r="M16"/>
  <c r="M21" s="1"/>
  <c r="N30" s="1"/>
  <c r="V8"/>
  <c r="N8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G7" s="1"/>
  <c r="H7" s="1"/>
  <c r="H8" s="1"/>
  <c r="N27" s="1"/>
  <c r="AA32" i="4" l="1"/>
  <c r="AB35"/>
  <c r="Z36" s="1"/>
  <c r="AB34"/>
  <c r="Z35" s="1"/>
  <c r="AB33"/>
  <c r="Z34" s="1"/>
  <c r="L42"/>
  <c r="N31"/>
  <c r="L63"/>
  <c r="S12"/>
  <c r="L42" i="2"/>
  <c r="N31"/>
  <c r="L63"/>
  <c r="S12"/>
  <c r="AB33"/>
  <c r="Z34" s="1"/>
  <c r="AB34"/>
  <c r="Z35" s="1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<sst xmlns="http://schemas.openxmlformats.org/spreadsheetml/2006/main" count="500" uniqueCount="101">
  <si>
    <t>Ano</t>
  </si>
  <si>
    <t>População</t>
  </si>
  <si>
    <t>Previsão da população</t>
  </si>
  <si>
    <t>Cálculo do Consumo Específico</t>
  </si>
  <si>
    <t>K1</t>
  </si>
  <si>
    <t>q</t>
  </si>
  <si>
    <t>P</t>
  </si>
  <si>
    <t>Q</t>
  </si>
  <si>
    <t>Dimensionamento de adutora de recalque simples</t>
  </si>
  <si>
    <t>Calculo de perda de carga unitária</t>
  </si>
  <si>
    <t>J= Perda de carga unitária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</si>
  <si>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</si>
  <si>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L = Comprimento da adutora</t>
  </si>
  <si>
    <t>m/m</t>
  </si>
  <si>
    <t>m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</si>
  <si>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</si>
  <si>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</si>
  <si>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</si>
  <si>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</si>
  <si>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</si>
  <si>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</si>
  <si>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</si>
  <si>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</si>
  <si>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</si>
  <si>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</si>
  <si>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C = Coeficiente de rugosidade da tubulação</t>
  </si>
  <si>
    <t>D = diametro da tubulação (m)</t>
  </si>
  <si>
    <t>Q = Vazão (m3/s)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</si>
  <si>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</si>
  <si>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</si>
  <si>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</si>
  <si>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</si>
  <si>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</si>
  <si>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</si>
  <si>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</si>
  <si>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</si>
  <si>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</si>
  <si>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</si>
  <si>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</si>
  <si>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</si>
  <si>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</si>
  <si>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Dimensionamento da Bomba</t>
  </si>
  <si>
    <t>P = potencia da Bomba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</si>
  <si>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</si>
  <si>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t>Q = vazão requerida</t>
  </si>
  <si>
    <t>Hm = Altura manometrica</t>
  </si>
  <si>
    <t>p =</t>
  </si>
  <si>
    <t>CV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</si>
  <si>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</si>
  <si>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Material</t>
  </si>
  <si>
    <t>Cimento</t>
  </si>
  <si>
    <t>Areia lavada</t>
  </si>
  <si>
    <t>Tela hexagonal 1/2"-fio 24</t>
  </si>
  <si>
    <t>Arame recozido</t>
  </si>
  <si>
    <t>Cimbramento em pontaletes de madeira</t>
  </si>
  <si>
    <t>Unidade</t>
  </si>
  <si>
    <t>und</t>
  </si>
  <si>
    <t>Sc</t>
  </si>
  <si>
    <t>m³</t>
  </si>
  <si>
    <t>Kg</t>
  </si>
  <si>
    <t>m²</t>
  </si>
  <si>
    <t>INSUMOS</t>
  </si>
  <si>
    <t>Material adutora e distribuição</t>
  </si>
  <si>
    <t>SERVIÇOS</t>
  </si>
  <si>
    <t>Assentamento de tubos e conexões de PVC JE DN 50</t>
  </si>
  <si>
    <t>Assentamento de tubos e conexões PVC JS DN 25 mm</t>
  </si>
  <si>
    <t xml:space="preserve">Pedreiro </t>
  </si>
  <si>
    <t>Armador</t>
  </si>
  <si>
    <t>Servente</t>
  </si>
  <si>
    <t>h</t>
  </si>
  <si>
    <t>Escavação manual em solo profundidade até 1,50 m (1x 0,8x0,6) 20%</t>
  </si>
  <si>
    <t>Q 92 - TELA EM ACO SOLDADA - MALHA 15 x 15 cm - FIO ∅ 4,2 mm</t>
  </si>
  <si>
    <t>Montagem e instalação de poço tubular profundo, diâmetro da tubulação de extração de 4", profundidade de instalação da bomba entre 60 m a 120 m</t>
  </si>
  <si>
    <t>Bomba submersa</t>
  </si>
  <si>
    <t>Escavação mecânica de valas (solo seco), profundidade até 1,50 m (1x 0,8x0,6) 75%</t>
  </si>
  <si>
    <t>Escavação e carga mecânica de valas, rocha branda, à frio</t>
  </si>
  <si>
    <t>Caixa de passagem em alvenaria (0,30 X 0,30 X 0,30 m)</t>
  </si>
  <si>
    <t>Assentamento de tubos e conexões PVC JS DN 32 mm</t>
  </si>
  <si>
    <t>Tubo BPA 50 mm classe 12</t>
  </si>
  <si>
    <t>Reservatórios: 1 Caixas d'água de ferrocimento (50 m³)</t>
  </si>
  <si>
    <t>Adaptador PVC BSA PBA x PTA FOFO 50 mm</t>
  </si>
  <si>
    <t>CAP 50 mm</t>
  </si>
  <si>
    <t>Conexão T PBA 50 mm</t>
  </si>
  <si>
    <t>Bucha c/ redução 50 x 25 PVC</t>
  </si>
  <si>
    <t>Bucha c/ redução 32 x 25 PVC</t>
  </si>
  <si>
    <t>Tubo PVC 32 mm Classe 12</t>
  </si>
  <si>
    <t>Tubo PVC 25 mm Classe 12</t>
  </si>
  <si>
    <t>Flange 50 mm</t>
  </si>
  <si>
    <t>Curva de 45º PBA</t>
  </si>
  <si>
    <t xml:space="preserve">Curva de 90º PBA </t>
  </si>
  <si>
    <t>Bucha c/ redução 50 x 32 PVC</t>
  </si>
  <si>
    <t>Veredinha</t>
  </si>
  <si>
    <t>Riacho dos Cavalos</t>
  </si>
  <si>
    <t>Leite</t>
  </si>
  <si>
    <t>Água Boa</t>
  </si>
  <si>
    <t>Curva de 90º PBA</t>
  </si>
  <si>
    <t xml:space="preserve">Tubo PVC 25 mm Classe 12 </t>
  </si>
  <si>
    <t>Reservatórios: 1 Caixas d'água de ferrocimento(50 m³)</t>
  </si>
  <si>
    <t>Escavação e carga mecânica de valas, rocha branda, à frio 5%</t>
  </si>
  <si>
    <t xml:space="preserve">Motobomba submersivel </t>
  </si>
  <si>
    <t>Motobomba submersivel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</si>
</sst>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Symbol"/>
      <family val="1"/>
      <charset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" fontId="9" fillId="0" borderId="0"/>
  </cellStyleXfs>
  <cellXfs count="54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Border="1"/>
    <xf numFmtId="0" fontId="1" fillId="0" borderId="4" xfId="0" applyFont="1" applyBorder="1" applyAlignment="1"/>
    <xf numFmtId="165" fontId="0" fillId="0" borderId="0" xfId="0" applyNumberForma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0" xfId="0" applyNumberFormat="1"/>
    <xf numFmtId="164" fontId="0" fillId="2" borderId="0" xfId="0" applyNumberFormat="1" applyFill="1" applyBorder="1"/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0" fontId="8" fillId="0" borderId="0" xfId="0" applyFont="1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164" fontId="0" fillId="0" borderId="5" xfId="0" applyNumberForma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0" fillId="0" borderId="0" xfId="0" applyAlignment="1">
      <alignment vertical="top" wrapText="1"/>
    </xf>
    <xf numFmtId="0" fontId="6" fillId="0" borderId="0" xfId="0" applyFont="1"/>
    <xf numFmtId="0" fontId="0" fillId="0" borderId="0" xfId="0" applyAlignment="1"/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155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917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1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43700"/>
          <a:ext cx="1657350" cy="9048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5362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2985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24650"/>
          <a:ext cx="1657350" cy="9144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441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203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182475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1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905625"/>
          <a:ext cx="1657350" cy="1095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1030605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58227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905625"/>
          <a:ext cx="1657350" cy="1095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1030605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2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58227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2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8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905625"/>
          <a:ext cx="1657350" cy="1095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1030605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3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58227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3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1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2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2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8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3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3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3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3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3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3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4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4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4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4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4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4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4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4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15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48150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15125"/>
          <a:ext cx="1657350" cy="723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2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2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2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19575"/>
          <a:ext cx="19145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28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96075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2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060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3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1822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3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8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7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6.bin"/><Relationship Id="rId5" Type="http://schemas.openxmlformats.org/officeDocument/2006/relationships/oleObject" Target="../embeddings/oleObject5.bin"/><Relationship Id="rId4" Type="http://schemas.openxmlformats.org/officeDocument/2006/relationships/oleObject" Target="../embeddings/oleObject4.bin"/><Relationship Id="rId9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4.bin"/><Relationship Id="rId3" Type="http://schemas.openxmlformats.org/officeDocument/2006/relationships/oleObject" Target="../embeddings/oleObject9.bin"/><Relationship Id="rId7" Type="http://schemas.openxmlformats.org/officeDocument/2006/relationships/oleObject" Target="../embeddings/oleObject1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oleObject" Target="../embeddings/oleObject12.bin"/><Relationship Id="rId11" Type="http://schemas.openxmlformats.org/officeDocument/2006/relationships/comments" Target="../comments3.xml"/><Relationship Id="rId5" Type="http://schemas.openxmlformats.org/officeDocument/2006/relationships/oleObject" Target="../embeddings/oleObject11.bin"/><Relationship Id="rId10" Type="http://schemas.openxmlformats.org/officeDocument/2006/relationships/oleObject" Target="../embeddings/oleObject16.bin"/><Relationship Id="rId4" Type="http://schemas.openxmlformats.org/officeDocument/2006/relationships/oleObject" Target="../embeddings/oleObject10.bin"/><Relationship Id="rId9" Type="http://schemas.openxmlformats.org/officeDocument/2006/relationships/oleObject" Target="../embeddings/oleObject1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oleObject" Target="../embeddings/oleObject17.bin"/><Relationship Id="rId7" Type="http://schemas.openxmlformats.org/officeDocument/2006/relationships/oleObject" Target="../embeddings/oleObject21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oleObject" Target="../embeddings/oleObject20.bin"/><Relationship Id="rId5" Type="http://schemas.openxmlformats.org/officeDocument/2006/relationships/oleObject" Target="../embeddings/oleObject19.bin"/><Relationship Id="rId4" Type="http://schemas.openxmlformats.org/officeDocument/2006/relationships/oleObject" Target="../embeddings/oleObject1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3"/>
  <sheetViews>
    <sheetView topLeftCell="O1" workbookViewId="0">
      <selection activeCell="X17" sqref="X17"/>
    </sheetView>
  </sheetViews>
  <sheetFormatPr defaultRowHeight="15"/>
  <cols>
    <col min="1" max="1" width="9.140625" style="37" customWidth="1"/>
    <col min="2" max="9" width="9.140625" style="37"/>
    <col min="10" max="10" width="18.85546875" style="37" bestFit="1" customWidth="1"/>
    <col min="11" max="11" width="11.5703125" style="37" customWidth="1"/>
    <col min="12" max="12" width="9.140625" style="37"/>
    <col min="13" max="13" width="9.140625" style="37" customWidth="1"/>
    <col min="14" max="14" width="9.5703125" style="37" bestFit="1" customWidth="1"/>
    <col min="15" max="23" width="9.140625" style="37"/>
    <col min="24" max="24" width="62" style="37" bestFit="1" customWidth="1"/>
    <col min="25" max="25" width="8.42578125" style="37" bestFit="1" customWidth="1"/>
    <col min="26" max="26" width="11.28515625" style="37" customWidth="1"/>
    <col min="27" max="27" width="9.140625" style="37" hidden="1" customWidth="1"/>
    <col min="28" max="28" width="11.28515625" style="37" hidden="1" customWidth="1"/>
    <col min="29" max="29" width="9.140625" style="37" hidden="1" customWidth="1"/>
    <col min="30" max="31" width="9.140625" style="37" customWidth="1"/>
    <col min="32" max="16384" width="9.140625" style="37"/>
  </cols>
  <sheetData>
    <row r="1" spans="1:27" ht="15.75">
      <c r="A1" s="48" t="s">
        <v>2</v>
      </c>
      <c r="B1" s="49"/>
      <c r="C1" s="49"/>
      <c r="D1" s="5"/>
      <c r="E1" s="40" t="s">
        <v>3</v>
      </c>
      <c r="F1" s="40"/>
      <c r="G1" s="40"/>
      <c r="H1" s="50"/>
      <c r="J1" s="40" t="s">
        <v>8</v>
      </c>
      <c r="K1" s="40"/>
      <c r="L1" s="40"/>
      <c r="M1" s="40"/>
      <c r="N1" s="40"/>
      <c r="O1" s="40"/>
      <c r="R1" s="51" t="s">
        <v>41</v>
      </c>
      <c r="S1" s="51"/>
      <c r="T1" s="51"/>
      <c r="U1" s="51"/>
      <c r="X1" s="40" t="s">
        <v>61</v>
      </c>
      <c r="Y1" s="40"/>
      <c r="Z1" s="40"/>
      <c r="AA1" s="40"/>
    </row>
    <row r="2" spans="1:27" ht="15" customHeight="1">
      <c r="A2" s="52" t="s">
        <v>94</v>
      </c>
      <c r="B2" s="47"/>
    </row>
    <row r="3" spans="1:27" ht="15.75">
      <c r="A3" s="1" t="s">
        <v>0</v>
      </c>
      <c r="B3" s="2" t="s">
        <v>1</v>
      </c>
      <c r="J3" s="40" t="s">
        <v>9</v>
      </c>
      <c r="K3" s="40"/>
      <c r="L3" s="40"/>
      <c r="M3" s="40"/>
      <c r="N3" s="40"/>
      <c r="X3" s="38" t="s">
        <v>62</v>
      </c>
    </row>
    <row r="4" spans="1:27" ht="15" customHeight="1">
      <c r="A4" s="1">
        <v>0</v>
      </c>
      <c r="B4" s="34">
        <v>45</v>
      </c>
    </row>
    <row r="5" spans="1:27" ht="15" customHeight="1">
      <c r="A5" s="1">
        <v>1</v>
      </c>
      <c r="B5" s="3">
        <f>B4*1.05</f>
        <v>47.25</v>
      </c>
      <c r="X5" s="37" t="s">
        <v>49</v>
      </c>
      <c r="Y5" s="37" t="s">
        <v>55</v>
      </c>
      <c r="Z5" s="37" t="s">
        <v>17</v>
      </c>
    </row>
    <row r="6" spans="1:27" ht="15" customHeight="1">
      <c r="A6" s="1">
        <v>2</v>
      </c>
      <c r="B6" s="3">
        <f t="shared" ref="B6:B24" si="0">B5*1.05</f>
        <v>49.612500000000004</v>
      </c>
      <c r="E6" s="37" t="s">
        <v>4</v>
      </c>
      <c r="F6" s="37" t="s">
        <v>5</v>
      </c>
      <c r="G6" s="37" t="s">
        <v>6</v>
      </c>
      <c r="H6" s="37" t="s">
        <v>7</v>
      </c>
    </row>
    <row r="7" spans="1:27">
      <c r="A7" s="1">
        <v>3</v>
      </c>
      <c r="B7" s="3">
        <f t="shared" si="0"/>
        <v>52.093125000000008</v>
      </c>
      <c r="E7" s="37">
        <v>1.2</v>
      </c>
      <c r="F7" s="37">
        <v>200</v>
      </c>
      <c r="G7" s="23">
        <f>B24</f>
        <v>119.39839673149902</v>
      </c>
      <c r="H7" s="22">
        <f>(E7*F7*G7)/86400</f>
        <v>0.33166221314305283</v>
      </c>
      <c r="R7" s="47" t="s">
        <v>42</v>
      </c>
      <c r="S7" s="47"/>
      <c r="T7" s="47"/>
      <c r="X7" s="37" t="s">
        <v>20</v>
      </c>
      <c r="Y7" s="37" t="s">
        <v>56</v>
      </c>
      <c r="Z7" s="37">
        <v>3</v>
      </c>
    </row>
    <row r="8" spans="1:27">
      <c r="A8" s="1">
        <v>4</v>
      </c>
      <c r="B8" s="3">
        <f t="shared" si="0"/>
        <v>54.697781250000013</v>
      </c>
      <c r="H8" s="37">
        <f>H7*1.75</f>
        <v>0.5804088730003425</v>
      </c>
      <c r="J8" s="47" t="s">
        <v>10</v>
      </c>
      <c r="K8" s="47"/>
      <c r="L8" s="47"/>
      <c r="N8" s="6">
        <f>N9/N10</f>
        <v>6.8221070811744389E-2</v>
      </c>
      <c r="O8" s="37" t="s">
        <v>13</v>
      </c>
      <c r="R8" s="47" t="s">
        <v>43</v>
      </c>
      <c r="S8" s="47"/>
      <c r="T8" s="47"/>
      <c r="U8" s="47"/>
      <c r="V8" s="37">
        <f xml:space="preserve"> 1000</f>
        <v>1000</v>
      </c>
      <c r="X8" s="37" t="s">
        <v>21</v>
      </c>
      <c r="Y8" s="37" t="s">
        <v>56</v>
      </c>
      <c r="Z8" s="37">
        <v>1</v>
      </c>
    </row>
    <row r="9" spans="1:27">
      <c r="A9" s="1">
        <v>5</v>
      </c>
      <c r="B9" s="3">
        <f t="shared" si="0"/>
        <v>57.432670312500015</v>
      </c>
      <c r="J9" s="47" t="s">
        <v>11</v>
      </c>
      <c r="K9" s="47"/>
      <c r="L9" s="47"/>
      <c r="M9" s="47"/>
      <c r="N9" s="21">
        <v>79</v>
      </c>
      <c r="O9" s="37" t="s">
        <v>14</v>
      </c>
      <c r="R9" s="47" t="s">
        <v>44</v>
      </c>
      <c r="S9" s="47"/>
      <c r="X9" s="37" t="s">
        <v>95</v>
      </c>
      <c r="Y9" s="37" t="s">
        <v>56</v>
      </c>
      <c r="Z9" s="37">
        <v>4</v>
      </c>
    </row>
    <row r="10" spans="1:27">
      <c r="A10" s="1">
        <v>6</v>
      </c>
      <c r="B10" s="3">
        <f t="shared" si="0"/>
        <v>60.304303828125022</v>
      </c>
      <c r="J10" s="47" t="s">
        <v>12</v>
      </c>
      <c r="K10" s="47"/>
      <c r="L10" s="47"/>
      <c r="N10" s="21">
        <v>1158</v>
      </c>
      <c r="O10" s="37" t="s">
        <v>14</v>
      </c>
      <c r="R10" s="47" t="s">
        <v>45</v>
      </c>
      <c r="S10" s="47"/>
      <c r="T10" s="47"/>
      <c r="X10" s="37" t="s">
        <v>88</v>
      </c>
      <c r="Y10" s="37" t="s">
        <v>56</v>
      </c>
      <c r="Z10" s="37">
        <v>5</v>
      </c>
    </row>
    <row r="11" spans="1:27">
      <c r="A11" s="1">
        <v>7</v>
      </c>
      <c r="B11" s="3">
        <f t="shared" si="0"/>
        <v>63.319519019531278</v>
      </c>
      <c r="R11" s="45" t="s">
        <v>48</v>
      </c>
      <c r="S11" s="45"/>
      <c r="T11" s="45"/>
      <c r="V11" s="16">
        <v>0.7</v>
      </c>
      <c r="X11" s="37" t="s">
        <v>78</v>
      </c>
      <c r="Y11" s="37" t="s">
        <v>14</v>
      </c>
      <c r="Z11" s="37">
        <v>6835</v>
      </c>
    </row>
    <row r="12" spans="1:27">
      <c r="A12" s="1">
        <v>8</v>
      </c>
      <c r="B12" s="3">
        <f t="shared" si="0"/>
        <v>66.485494970507844</v>
      </c>
      <c r="R12" s="37" t="s">
        <v>46</v>
      </c>
      <c r="S12" s="37">
        <f>V8*N27*(N9+M21)/(75*0.7)</f>
        <v>1.0193085350596491</v>
      </c>
      <c r="T12" s="37" t="s">
        <v>47</v>
      </c>
      <c r="X12" s="24" t="s">
        <v>96</v>
      </c>
      <c r="Y12" s="37" t="s">
        <v>14</v>
      </c>
      <c r="Z12" s="37">
        <v>452</v>
      </c>
    </row>
    <row r="13" spans="1:27" ht="15.75">
      <c r="A13" s="1">
        <v>9</v>
      </c>
      <c r="B13" s="3">
        <f t="shared" si="0"/>
        <v>69.809769719033241</v>
      </c>
      <c r="J13" s="40" t="s">
        <v>15</v>
      </c>
      <c r="K13" s="40"/>
      <c r="L13" s="40"/>
      <c r="M13" s="40"/>
      <c r="N13" s="40"/>
      <c r="O13" s="40"/>
      <c r="P13" s="40"/>
      <c r="Q13" s="10"/>
      <c r="X13" s="25" t="s">
        <v>87</v>
      </c>
      <c r="Y13" s="37" t="s">
        <v>56</v>
      </c>
      <c r="Z13" s="27">
        <v>1</v>
      </c>
    </row>
    <row r="14" spans="1:27">
      <c r="A14" s="1">
        <v>10</v>
      </c>
      <c r="B14" s="3">
        <f t="shared" si="0"/>
        <v>73.3002582049849</v>
      </c>
      <c r="X14" s="26" t="s">
        <v>82</v>
      </c>
      <c r="Y14" s="37" t="s">
        <v>56</v>
      </c>
      <c r="Z14" s="27">
        <v>10</v>
      </c>
    </row>
    <row r="15" spans="1:27" ht="15" customHeight="1">
      <c r="A15" s="1">
        <v>11</v>
      </c>
      <c r="B15" s="3">
        <f t="shared" si="0"/>
        <v>76.965271115234145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80</v>
      </c>
      <c r="Y15" s="37" t="s">
        <v>56</v>
      </c>
      <c r="Z15" s="27">
        <v>9</v>
      </c>
    </row>
    <row r="16" spans="1:27" ht="15" customHeight="1">
      <c r="A16" s="1">
        <v>12</v>
      </c>
      <c r="B16" s="3">
        <f t="shared" si="0"/>
        <v>80.81353467099585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5" t="s">
        <v>83</v>
      </c>
      <c r="Y16" s="37" t="s">
        <v>56</v>
      </c>
      <c r="Z16" s="27">
        <v>9</v>
      </c>
    </row>
    <row r="17" spans="1:29">
      <c r="A17" s="1">
        <v>13</v>
      </c>
      <c r="B17" s="3">
        <f t="shared" si="0"/>
        <v>84.854211404545651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5" t="s">
        <v>100</v>
      </c>
      <c r="Y17" s="37" t="s">
        <v>56</v>
      </c>
      <c r="Z17" s="27">
        <v>1</v>
      </c>
    </row>
    <row r="18" spans="1:29">
      <c r="A18" s="1">
        <v>14</v>
      </c>
      <c r="B18" s="3">
        <f t="shared" si="0"/>
        <v>89.09692197477294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37" t="s">
        <v>76</v>
      </c>
      <c r="Y18" s="37" t="s">
        <v>56</v>
      </c>
      <c r="Z18" s="29">
        <v>2</v>
      </c>
    </row>
    <row r="19" spans="1:29">
      <c r="A19" s="1">
        <v>15</v>
      </c>
      <c r="B19" s="3">
        <f t="shared" si="0"/>
        <v>93.551768073511596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8" t="s">
        <v>81</v>
      </c>
      <c r="Y19" s="37" t="s">
        <v>56</v>
      </c>
      <c r="Z19" s="29">
        <v>3</v>
      </c>
    </row>
    <row r="20" spans="1:29" ht="15.75">
      <c r="A20" s="1">
        <v>16</v>
      </c>
      <c r="B20" s="3">
        <f t="shared" si="0"/>
        <v>98.229356477187181</v>
      </c>
      <c r="J20" s="18"/>
      <c r="K20" s="20"/>
      <c r="L20" s="19"/>
      <c r="M20" s="19"/>
      <c r="X20" s="38" t="s">
        <v>97</v>
      </c>
      <c r="Y20" s="38"/>
      <c r="Z20" s="38"/>
      <c r="AA20" s="38"/>
    </row>
    <row r="21" spans="1:29">
      <c r="A21" s="1">
        <v>17</v>
      </c>
      <c r="B21" s="3">
        <f t="shared" si="0"/>
        <v>103.14082430104655</v>
      </c>
      <c r="L21" s="9" t="s">
        <v>24</v>
      </c>
      <c r="M21" s="37">
        <f>SUM(M16:M20)</f>
        <v>13.200000000000001</v>
      </c>
      <c r="X21" s="37" t="s">
        <v>49</v>
      </c>
      <c r="Y21" s="37" t="s">
        <v>55</v>
      </c>
      <c r="Z21" s="37" t="s">
        <v>17</v>
      </c>
    </row>
    <row r="22" spans="1:29">
      <c r="A22" s="1">
        <v>18</v>
      </c>
      <c r="B22" s="3">
        <f t="shared" si="0"/>
        <v>108.29786551609888</v>
      </c>
    </row>
    <row r="23" spans="1:29">
      <c r="A23" s="1">
        <v>19</v>
      </c>
      <c r="B23" s="3">
        <f t="shared" si="0"/>
        <v>113.71275879190382</v>
      </c>
      <c r="X23" s="37" t="s">
        <v>50</v>
      </c>
      <c r="Y23" s="37" t="s">
        <v>57</v>
      </c>
      <c r="Z23" s="37">
        <v>45</v>
      </c>
    </row>
    <row r="24" spans="1:29">
      <c r="A24" s="4">
        <v>20</v>
      </c>
      <c r="B24" s="17">
        <f t="shared" si="0"/>
        <v>119.39839673149902</v>
      </c>
      <c r="X24" s="37" t="s">
        <v>51</v>
      </c>
      <c r="Y24" s="37" t="s">
        <v>58</v>
      </c>
      <c r="Z24" s="37">
        <v>4</v>
      </c>
    </row>
    <row r="25" spans="1:29">
      <c r="X25" s="37" t="s">
        <v>71</v>
      </c>
      <c r="Y25" s="37" t="s">
        <v>59</v>
      </c>
      <c r="Z25" s="37">
        <v>200</v>
      </c>
    </row>
    <row r="26" spans="1:29">
      <c r="X26" s="37" t="s">
        <v>52</v>
      </c>
      <c r="Y26" s="37" t="s">
        <v>60</v>
      </c>
      <c r="Z26" s="37">
        <v>250</v>
      </c>
    </row>
    <row r="27" spans="1:29">
      <c r="J27" s="37" t="s">
        <v>27</v>
      </c>
      <c r="N27" s="22">
        <f>H8/1000</f>
        <v>5.8040887300034251E-4</v>
      </c>
      <c r="X27" s="37" t="s">
        <v>53</v>
      </c>
      <c r="Y27" s="37" t="s">
        <v>59</v>
      </c>
      <c r="Z27" s="37">
        <v>10</v>
      </c>
    </row>
    <row r="28" spans="1:29">
      <c r="J28" s="46" t="s">
        <v>25</v>
      </c>
      <c r="K28" s="46"/>
      <c r="L28" s="46"/>
      <c r="N28" s="22">
        <v>140</v>
      </c>
      <c r="X28" s="37" t="s">
        <v>54</v>
      </c>
      <c r="Y28" s="37" t="s">
        <v>58</v>
      </c>
      <c r="Z28" s="37">
        <v>65</v>
      </c>
    </row>
    <row r="29" spans="1:29">
      <c r="J29" s="37" t="s">
        <v>26</v>
      </c>
      <c r="N29" s="37">
        <v>0.05</v>
      </c>
    </row>
    <row r="30" spans="1:29" ht="15.75">
      <c r="J30" s="47" t="s">
        <v>28</v>
      </c>
      <c r="K30" s="47"/>
      <c r="N30" s="37">
        <f>M21</f>
        <v>13.200000000000001</v>
      </c>
      <c r="X30" s="36" t="s">
        <v>63</v>
      </c>
      <c r="Y30" s="35"/>
      <c r="Z30" s="35"/>
      <c r="AC30" s="37">
        <v>0.48</v>
      </c>
    </row>
    <row r="31" spans="1:29">
      <c r="J31" s="47" t="s">
        <v>29</v>
      </c>
      <c r="K31" s="47"/>
      <c r="N31" s="37">
        <f>10.643*((N27/N28)^1.852)*(N30/(N29^4.87))</f>
        <v>3.2768789455445639E-2</v>
      </c>
      <c r="Y31" s="37" t="s">
        <v>55</v>
      </c>
      <c r="Z31" s="37" t="s">
        <v>17</v>
      </c>
    </row>
    <row r="32" spans="1:29">
      <c r="X32" s="39" t="s">
        <v>64</v>
      </c>
      <c r="Y32" s="37" t="s">
        <v>14</v>
      </c>
      <c r="Z32" s="37">
        <f>Z11</f>
        <v>6835</v>
      </c>
      <c r="AA32" s="37">
        <f>Z32+Z33</f>
        <v>7287</v>
      </c>
    </row>
    <row r="33" spans="10:28" ht="16.5" customHeight="1">
      <c r="X33" s="32" t="s">
        <v>65</v>
      </c>
      <c r="Y33" s="37" t="s">
        <v>14</v>
      </c>
      <c r="Z33" s="37">
        <f>Z12</f>
        <v>452</v>
      </c>
      <c r="AB33" s="37">
        <f>0.75*AA32</f>
        <v>5465.25</v>
      </c>
    </row>
    <row r="34" spans="10:28" ht="30">
      <c r="J34" s="40" t="s">
        <v>30</v>
      </c>
      <c r="K34" s="40"/>
      <c r="L34" s="40"/>
      <c r="X34" s="33" t="s">
        <v>74</v>
      </c>
      <c r="Y34" s="33" t="s">
        <v>58</v>
      </c>
      <c r="Z34" s="37">
        <f>AB33*AC30</f>
        <v>2623.3199999999997</v>
      </c>
      <c r="AB34" s="37">
        <f>0.2*AA32</f>
        <v>1457.4</v>
      </c>
    </row>
    <row r="35" spans="10:28" ht="15" customHeight="1">
      <c r="X35" s="37" t="s">
        <v>70</v>
      </c>
      <c r="Y35" s="33" t="s">
        <v>58</v>
      </c>
      <c r="Z35" s="37">
        <f>AB34*AC30</f>
        <v>699.55200000000002</v>
      </c>
      <c r="AB35" s="37">
        <f>0.05*AA32</f>
        <v>364.35</v>
      </c>
    </row>
    <row r="36" spans="10:28" ht="15" customHeight="1">
      <c r="X36" s="37" t="s">
        <v>98</v>
      </c>
      <c r="Y36" s="33" t="s">
        <v>58</v>
      </c>
      <c r="Z36" s="37">
        <f>AB35*AC30</f>
        <v>174.88800000000001</v>
      </c>
    </row>
    <row r="37" spans="10:28" ht="45">
      <c r="X37" s="30" t="s">
        <v>72</v>
      </c>
      <c r="Y37" s="37" t="s">
        <v>56</v>
      </c>
      <c r="Z37" s="37">
        <v>1</v>
      </c>
    </row>
    <row r="38" spans="10:28">
      <c r="X38" s="37" t="s">
        <v>66</v>
      </c>
      <c r="Y38" s="37" t="s">
        <v>69</v>
      </c>
      <c r="Z38" s="37">
        <v>250</v>
      </c>
    </row>
    <row r="39" spans="10:28">
      <c r="X39" s="37" t="s">
        <v>67</v>
      </c>
      <c r="Y39" s="37" t="s">
        <v>69</v>
      </c>
      <c r="Z39" s="37">
        <v>80</v>
      </c>
    </row>
    <row r="40" spans="10:28">
      <c r="X40" s="37" t="s">
        <v>68</v>
      </c>
      <c r="Y40" s="37" t="s">
        <v>69</v>
      </c>
      <c r="Z40" s="37">
        <v>350</v>
      </c>
    </row>
    <row r="42" spans="10:28">
      <c r="K42" s="37" t="s">
        <v>31</v>
      </c>
      <c r="L42" s="37">
        <f>((10.643*((N27/N28)^1.852))/N8)^(1/4.87)</f>
        <v>2.5321001205804609E-2</v>
      </c>
      <c r="M42" s="37" t="s">
        <v>14</v>
      </c>
    </row>
    <row r="45" spans="10:28" ht="15" customHeight="1">
      <c r="J45" s="41" t="s">
        <v>32</v>
      </c>
      <c r="K45" s="41"/>
      <c r="L45" s="41"/>
      <c r="M45" s="41"/>
      <c r="N45" s="41"/>
    </row>
    <row r="46" spans="10:28" ht="15" customHeight="1">
      <c r="J46" s="41"/>
      <c r="K46" s="41"/>
      <c r="L46" s="41"/>
      <c r="M46" s="41"/>
      <c r="N46" s="41"/>
    </row>
    <row r="47" spans="10:28" ht="15" customHeight="1">
      <c r="J47" s="41"/>
      <c r="K47" s="41"/>
      <c r="L47" s="41"/>
      <c r="M47" s="41"/>
      <c r="N47" s="41"/>
    </row>
    <row r="50" spans="10:14">
      <c r="J50" s="42" t="s">
        <v>33</v>
      </c>
      <c r="K50" s="42"/>
      <c r="L50" s="42"/>
      <c r="M50" s="42"/>
      <c r="N50" s="4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 ht="15" customHeight="1">
      <c r="J58" s="43" t="s">
        <v>37</v>
      </c>
      <c r="K58" s="43"/>
      <c r="L58" s="43"/>
      <c r="M58" s="43"/>
      <c r="N58" s="43"/>
    </row>
    <row r="59" spans="10:14" ht="15" customHeight="1">
      <c r="J59" s="44" t="s">
        <v>38</v>
      </c>
      <c r="K59" s="44"/>
      <c r="L59" s="44"/>
      <c r="M59" s="44"/>
      <c r="N59" s="4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37" t="s">
        <v>40</v>
      </c>
      <c r="L62" s="37">
        <v>1.2</v>
      </c>
    </row>
    <row r="63" spans="10:14">
      <c r="K63" s="37" t="s">
        <v>31</v>
      </c>
      <c r="L63" s="37">
        <f>L61^(1/4)*L62*(N27^0.5)</f>
        <v>2.4310325212582258E-2</v>
      </c>
    </row>
  </sheetData>
  <mergeCells count="24">
    <mergeCell ref="R8:U8"/>
    <mergeCell ref="J9:M9"/>
    <mergeCell ref="R9:S9"/>
    <mergeCell ref="A1:C1"/>
    <mergeCell ref="E1:H1"/>
    <mergeCell ref="J1:O1"/>
    <mergeCell ref="R1:U1"/>
    <mergeCell ref="A2:B2"/>
    <mergeCell ref="X1:AA1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J3:N3"/>
    <mergeCell ref="R7:T7"/>
    <mergeCell ref="J8:L8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oleObject progId="Equation.3" shapeId="2049" r:id="rId4"/>
    <oleObject progId="Equation.3" shapeId="2054" r:id="rId5"/>
    <oleObject progId="Equation.3" shapeId="2059" r:id="rId6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AC63"/>
  <sheetViews>
    <sheetView topLeftCell="O1" workbookViewId="0">
      <selection activeCell="X17" sqref="X17"/>
    </sheetView>
  </sheetViews>
  <sheetFormatPr defaultRowHeight="15"/>
  <cols>
    <col min="1" max="1" width="9.140625" style="37" customWidth="1"/>
    <col min="2" max="9" width="9.140625" style="37"/>
    <col min="10" max="10" width="18.85546875" style="37" bestFit="1" customWidth="1"/>
    <col min="11" max="11" width="11.5703125" style="37" customWidth="1"/>
    <col min="12" max="12" width="9.140625" style="37"/>
    <col min="13" max="13" width="9.140625" style="37" customWidth="1"/>
    <col min="14" max="14" width="9.5703125" style="37" bestFit="1" customWidth="1"/>
    <col min="15" max="23" width="9.140625" style="37"/>
    <col min="24" max="24" width="62" style="37" bestFit="1" customWidth="1"/>
    <col min="25" max="25" width="8.42578125" style="37" bestFit="1" customWidth="1"/>
    <col min="26" max="26" width="11.28515625" style="37" customWidth="1"/>
    <col min="27" max="27" width="9.140625" style="37" hidden="1" customWidth="1"/>
    <col min="28" max="28" width="11.28515625" style="37" hidden="1" customWidth="1"/>
    <col min="29" max="29" width="9.140625" style="37" hidden="1" customWidth="1"/>
    <col min="30" max="31" width="9.140625" style="37" customWidth="1"/>
    <col min="32" max="16384" width="9.140625" style="37"/>
  </cols>
  <sheetData>
    <row r="1" spans="1:27" ht="15.75">
      <c r="A1" s="48" t="s">
        <v>2</v>
      </c>
      <c r="B1" s="49"/>
      <c r="C1" s="49"/>
      <c r="D1" s="5"/>
      <c r="E1" s="40" t="s">
        <v>3</v>
      </c>
      <c r="F1" s="40"/>
      <c r="G1" s="40"/>
      <c r="H1" s="50"/>
      <c r="J1" s="40" t="s">
        <v>8</v>
      </c>
      <c r="K1" s="40"/>
      <c r="L1" s="40"/>
      <c r="M1" s="40"/>
      <c r="N1" s="40"/>
      <c r="O1" s="40"/>
      <c r="R1" s="51" t="s">
        <v>41</v>
      </c>
      <c r="S1" s="51"/>
      <c r="T1" s="51"/>
      <c r="U1" s="51"/>
      <c r="X1" s="40" t="s">
        <v>61</v>
      </c>
      <c r="Y1" s="40"/>
      <c r="Z1" s="40"/>
      <c r="AA1" s="40"/>
    </row>
    <row r="2" spans="1:27">
      <c r="A2" s="52" t="s">
        <v>93</v>
      </c>
      <c r="B2" s="47"/>
    </row>
    <row r="3" spans="1:27" ht="15.75">
      <c r="A3" s="1" t="s">
        <v>0</v>
      </c>
      <c r="B3" s="2" t="s">
        <v>1</v>
      </c>
      <c r="J3" s="40" t="s">
        <v>9</v>
      </c>
      <c r="K3" s="40"/>
      <c r="L3" s="40"/>
      <c r="M3" s="40"/>
      <c r="N3" s="40"/>
      <c r="X3" s="38" t="s">
        <v>62</v>
      </c>
    </row>
    <row r="4" spans="1:27">
      <c r="A4" s="1">
        <v>0</v>
      </c>
      <c r="B4" s="34">
        <v>60</v>
      </c>
    </row>
    <row r="5" spans="1:27">
      <c r="A5" s="1">
        <v>1</v>
      </c>
      <c r="B5" s="3">
        <f>B4*1.05</f>
        <v>63</v>
      </c>
      <c r="X5" s="37" t="s">
        <v>49</v>
      </c>
      <c r="Y5" s="37" t="s">
        <v>55</v>
      </c>
      <c r="Z5" s="37" t="s">
        <v>17</v>
      </c>
    </row>
    <row r="6" spans="1:27">
      <c r="A6" s="1">
        <v>2</v>
      </c>
      <c r="B6" s="3">
        <f t="shared" ref="B6:B24" si="0">B5*1.05</f>
        <v>66.150000000000006</v>
      </c>
      <c r="E6" s="37" t="s">
        <v>4</v>
      </c>
      <c r="F6" s="37" t="s">
        <v>5</v>
      </c>
      <c r="G6" s="37" t="s">
        <v>6</v>
      </c>
      <c r="H6" s="37" t="s">
        <v>7</v>
      </c>
    </row>
    <row r="7" spans="1:27">
      <c r="A7" s="1">
        <v>3</v>
      </c>
      <c r="B7" s="3">
        <f t="shared" si="0"/>
        <v>69.45750000000001</v>
      </c>
      <c r="E7" s="37">
        <v>1.2</v>
      </c>
      <c r="F7" s="37">
        <v>200</v>
      </c>
      <c r="G7" s="23">
        <f>B24</f>
        <v>159.19786230866532</v>
      </c>
      <c r="H7" s="22">
        <f>(E7*F7*G7)/86400</f>
        <v>0.44221628419073705</v>
      </c>
      <c r="R7" s="47" t="s">
        <v>42</v>
      </c>
      <c r="S7" s="47"/>
      <c r="T7" s="47"/>
      <c r="X7" s="37" t="s">
        <v>20</v>
      </c>
      <c r="Y7" s="37" t="s">
        <v>56</v>
      </c>
      <c r="Z7" s="37">
        <v>3</v>
      </c>
    </row>
    <row r="8" spans="1:27">
      <c r="A8" s="1">
        <v>4</v>
      </c>
      <c r="B8" s="3">
        <f t="shared" si="0"/>
        <v>72.930375000000012</v>
      </c>
      <c r="H8" s="37">
        <f>H7*1.75</f>
        <v>0.77387849733378988</v>
      </c>
      <c r="J8" s="47" t="s">
        <v>10</v>
      </c>
      <c r="K8" s="47"/>
      <c r="L8" s="47"/>
      <c r="N8" s="6">
        <f>N9/N10</f>
        <v>8.9552238805970154E-3</v>
      </c>
      <c r="O8" s="37" t="s">
        <v>13</v>
      </c>
      <c r="R8" s="47" t="s">
        <v>43</v>
      </c>
      <c r="S8" s="47"/>
      <c r="T8" s="47"/>
      <c r="U8" s="47"/>
      <c r="V8" s="37">
        <f xml:space="preserve"> 1000</f>
        <v>1000</v>
      </c>
      <c r="X8" s="37" t="s">
        <v>21</v>
      </c>
      <c r="Y8" s="37" t="s">
        <v>56</v>
      </c>
      <c r="Z8" s="37">
        <v>1</v>
      </c>
    </row>
    <row r="9" spans="1:27">
      <c r="A9" s="1">
        <v>5</v>
      </c>
      <c r="B9" s="3">
        <f t="shared" si="0"/>
        <v>76.576893750000011</v>
      </c>
      <c r="J9" s="47" t="s">
        <v>11</v>
      </c>
      <c r="K9" s="47"/>
      <c r="L9" s="47"/>
      <c r="M9" s="47"/>
      <c r="N9" s="21">
        <v>3</v>
      </c>
      <c r="O9" s="37" t="s">
        <v>14</v>
      </c>
      <c r="R9" s="47" t="s">
        <v>44</v>
      </c>
      <c r="S9" s="47"/>
      <c r="X9" s="37" t="s">
        <v>95</v>
      </c>
      <c r="Y9" s="37" t="s">
        <v>56</v>
      </c>
      <c r="Z9" s="37">
        <v>4</v>
      </c>
    </row>
    <row r="10" spans="1:27">
      <c r="A10" s="1">
        <v>6</v>
      </c>
      <c r="B10" s="3">
        <f t="shared" si="0"/>
        <v>80.40573843750002</v>
      </c>
      <c r="J10" s="47" t="s">
        <v>12</v>
      </c>
      <c r="K10" s="47"/>
      <c r="L10" s="47"/>
      <c r="N10" s="21">
        <v>335</v>
      </c>
      <c r="O10" s="37" t="s">
        <v>14</v>
      </c>
      <c r="R10" s="47" t="s">
        <v>45</v>
      </c>
      <c r="S10" s="47"/>
      <c r="T10" s="47"/>
      <c r="X10" s="37" t="s">
        <v>88</v>
      </c>
      <c r="Y10" s="37" t="s">
        <v>56</v>
      </c>
      <c r="Z10" s="37">
        <v>5</v>
      </c>
    </row>
    <row r="11" spans="1:27">
      <c r="A11" s="1">
        <v>7</v>
      </c>
      <c r="B11" s="3">
        <f t="shared" si="0"/>
        <v>84.426025359375018</v>
      </c>
      <c r="D11" s="37">
        <f>12*5</f>
        <v>60</v>
      </c>
      <c r="R11" s="45" t="s">
        <v>48</v>
      </c>
      <c r="S11" s="45"/>
      <c r="T11" s="45"/>
      <c r="V11" s="16">
        <v>0.7</v>
      </c>
      <c r="X11" s="37" t="s">
        <v>78</v>
      </c>
      <c r="Y11" s="37" t="s">
        <v>14</v>
      </c>
      <c r="Z11" s="37">
        <v>2942</v>
      </c>
    </row>
    <row r="12" spans="1:27">
      <c r="A12" s="1">
        <v>8</v>
      </c>
      <c r="B12" s="3">
        <f t="shared" si="0"/>
        <v>88.647326627343773</v>
      </c>
      <c r="R12" s="37" t="s">
        <v>46</v>
      </c>
      <c r="S12" s="37">
        <f>V8*N27*(N9+M21)/(75*0.7)</f>
        <v>0.23879679346299806</v>
      </c>
      <c r="T12" s="37" t="s">
        <v>47</v>
      </c>
      <c r="X12" s="24" t="s">
        <v>96</v>
      </c>
      <c r="Y12" s="37" t="s">
        <v>14</v>
      </c>
      <c r="Z12" s="37">
        <v>201</v>
      </c>
    </row>
    <row r="13" spans="1:27" ht="15.75">
      <c r="A13" s="1">
        <v>9</v>
      </c>
      <c r="B13" s="3">
        <f t="shared" si="0"/>
        <v>93.079692958710964</v>
      </c>
      <c r="J13" s="40" t="s">
        <v>15</v>
      </c>
      <c r="K13" s="40"/>
      <c r="L13" s="40"/>
      <c r="M13" s="40"/>
      <c r="N13" s="40"/>
      <c r="O13" s="40"/>
      <c r="P13" s="40"/>
      <c r="Q13" s="10"/>
      <c r="X13" s="25" t="s">
        <v>87</v>
      </c>
      <c r="Y13" s="37" t="s">
        <v>56</v>
      </c>
      <c r="Z13" s="27">
        <v>1</v>
      </c>
    </row>
    <row r="14" spans="1:27">
      <c r="A14" s="1">
        <v>10</v>
      </c>
      <c r="B14" s="3">
        <f t="shared" si="0"/>
        <v>97.733677606646523</v>
      </c>
      <c r="X14" s="26" t="s">
        <v>82</v>
      </c>
      <c r="Y14" s="37" t="s">
        <v>56</v>
      </c>
      <c r="Z14" s="27">
        <v>17</v>
      </c>
    </row>
    <row r="15" spans="1:27" ht="16.5" customHeight="1">
      <c r="A15" s="1">
        <v>11</v>
      </c>
      <c r="B15" s="3">
        <f t="shared" si="0"/>
        <v>102.62036148697885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80</v>
      </c>
      <c r="Y15" s="37" t="s">
        <v>56</v>
      </c>
      <c r="Z15" s="27">
        <v>12</v>
      </c>
    </row>
    <row r="16" spans="1:27">
      <c r="A16" s="1">
        <v>12</v>
      </c>
      <c r="B16" s="3">
        <f t="shared" si="0"/>
        <v>107.75137956132779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5" t="s">
        <v>83</v>
      </c>
      <c r="Y16" s="37" t="s">
        <v>56</v>
      </c>
      <c r="Z16" s="27">
        <v>12</v>
      </c>
    </row>
    <row r="17" spans="1:29">
      <c r="A17" s="1">
        <v>13</v>
      </c>
      <c r="B17" s="3">
        <f t="shared" si="0"/>
        <v>113.13894853939419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5" t="s">
        <v>99</v>
      </c>
      <c r="Y17" s="37" t="s">
        <v>56</v>
      </c>
      <c r="Z17" s="27">
        <v>1</v>
      </c>
    </row>
    <row r="18" spans="1:29">
      <c r="A18" s="1">
        <v>14</v>
      </c>
      <c r="B18" s="3">
        <f t="shared" si="0"/>
        <v>118.7958959663639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37" t="s">
        <v>76</v>
      </c>
      <c r="Y18" s="37" t="s">
        <v>56</v>
      </c>
      <c r="Z18" s="29">
        <v>2</v>
      </c>
    </row>
    <row r="19" spans="1:29">
      <c r="A19" s="1">
        <v>15</v>
      </c>
      <c r="B19" s="3">
        <f t="shared" si="0"/>
        <v>124.7356907646821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8" t="s">
        <v>81</v>
      </c>
      <c r="Y19" s="37" t="s">
        <v>56</v>
      </c>
      <c r="Z19" s="29">
        <v>3</v>
      </c>
    </row>
    <row r="20" spans="1:29" ht="15.75">
      <c r="A20" s="1">
        <v>16</v>
      </c>
      <c r="B20" s="3">
        <f t="shared" si="0"/>
        <v>130.97247530291622</v>
      </c>
      <c r="J20" s="18"/>
      <c r="K20" s="20"/>
      <c r="L20" s="19"/>
      <c r="M20" s="19"/>
      <c r="X20" s="38" t="s">
        <v>97</v>
      </c>
      <c r="Y20" s="38"/>
      <c r="Z20" s="38"/>
      <c r="AA20" s="38"/>
    </row>
    <row r="21" spans="1:29">
      <c r="A21" s="1">
        <v>17</v>
      </c>
      <c r="B21" s="3">
        <f t="shared" si="0"/>
        <v>137.52109906806203</v>
      </c>
      <c r="L21" s="9" t="s">
        <v>24</v>
      </c>
      <c r="M21" s="37">
        <f>SUM(M16:M20)</f>
        <v>13.200000000000001</v>
      </c>
      <c r="X21" s="37" t="s">
        <v>49</v>
      </c>
      <c r="Y21" s="37" t="s">
        <v>55</v>
      </c>
      <c r="Z21" s="37" t="s">
        <v>17</v>
      </c>
    </row>
    <row r="22" spans="1:29">
      <c r="A22" s="1">
        <v>18</v>
      </c>
      <c r="B22" s="3">
        <f t="shared" si="0"/>
        <v>144.39715402146513</v>
      </c>
    </row>
    <row r="23" spans="1:29">
      <c r="A23" s="1">
        <v>19</v>
      </c>
      <c r="B23" s="3">
        <f t="shared" si="0"/>
        <v>151.61701172253839</v>
      </c>
      <c r="X23" s="37" t="s">
        <v>50</v>
      </c>
      <c r="Y23" s="37" t="s">
        <v>57</v>
      </c>
      <c r="Z23" s="37">
        <v>45</v>
      </c>
    </row>
    <row r="24" spans="1:29">
      <c r="A24" s="4">
        <v>20</v>
      </c>
      <c r="B24" s="17">
        <f t="shared" si="0"/>
        <v>159.19786230866532</v>
      </c>
      <c r="X24" s="37" t="s">
        <v>51</v>
      </c>
      <c r="Y24" s="37" t="s">
        <v>58</v>
      </c>
      <c r="Z24" s="37">
        <v>4</v>
      </c>
    </row>
    <row r="25" spans="1:29">
      <c r="X25" s="37" t="s">
        <v>71</v>
      </c>
      <c r="Y25" s="37" t="s">
        <v>59</v>
      </c>
      <c r="Z25" s="37">
        <v>200</v>
      </c>
    </row>
    <row r="26" spans="1:29">
      <c r="X26" s="37" t="s">
        <v>52</v>
      </c>
      <c r="Y26" s="37" t="s">
        <v>60</v>
      </c>
      <c r="Z26" s="37">
        <v>250</v>
      </c>
    </row>
    <row r="27" spans="1:29">
      <c r="J27" s="37" t="s">
        <v>27</v>
      </c>
      <c r="N27" s="22">
        <f>H8/1000</f>
        <v>7.7387849733378991E-4</v>
      </c>
      <c r="X27" s="37" t="s">
        <v>53</v>
      </c>
      <c r="Y27" s="37" t="s">
        <v>59</v>
      </c>
      <c r="Z27" s="37">
        <v>10</v>
      </c>
    </row>
    <row r="28" spans="1:29">
      <c r="J28" s="46" t="s">
        <v>25</v>
      </c>
      <c r="K28" s="46"/>
      <c r="L28" s="46"/>
      <c r="N28" s="22">
        <v>140</v>
      </c>
      <c r="X28" s="37" t="s">
        <v>54</v>
      </c>
      <c r="Y28" s="37" t="s">
        <v>58</v>
      </c>
      <c r="Z28" s="37">
        <v>65</v>
      </c>
    </row>
    <row r="29" spans="1:29">
      <c r="J29" s="37" t="s">
        <v>26</v>
      </c>
      <c r="N29" s="37">
        <v>0.05</v>
      </c>
    </row>
    <row r="30" spans="1:29" ht="15.75">
      <c r="J30" s="47" t="s">
        <v>28</v>
      </c>
      <c r="K30" s="47"/>
      <c r="N30" s="37">
        <f>M21</f>
        <v>13.200000000000001</v>
      </c>
      <c r="X30" s="36" t="s">
        <v>63</v>
      </c>
      <c r="Y30" s="35"/>
      <c r="Z30" s="35"/>
      <c r="AC30" s="37">
        <v>0.48</v>
      </c>
    </row>
    <row r="31" spans="1:29">
      <c r="J31" s="47" t="s">
        <v>29</v>
      </c>
      <c r="K31" s="47"/>
      <c r="N31" s="37">
        <f>10.643*((N27/N28)^1.852)*(N30/(N29^4.87))</f>
        <v>5.582734033630591E-2</v>
      </c>
      <c r="Y31" s="37" t="s">
        <v>55</v>
      </c>
      <c r="Z31" s="37" t="s">
        <v>17</v>
      </c>
    </row>
    <row r="32" spans="1:29">
      <c r="X32" s="39" t="s">
        <v>64</v>
      </c>
      <c r="Y32" s="37" t="s">
        <v>14</v>
      </c>
      <c r="Z32" s="37">
        <f>Z11</f>
        <v>2942</v>
      </c>
      <c r="AA32" s="37">
        <f>Z32+Z33</f>
        <v>3143</v>
      </c>
    </row>
    <row r="33" spans="10:28" ht="15" customHeight="1">
      <c r="X33" s="32" t="s">
        <v>65</v>
      </c>
      <c r="Y33" s="37" t="s">
        <v>14</v>
      </c>
      <c r="Z33" s="37">
        <f>Z12</f>
        <v>201</v>
      </c>
      <c r="AB33" s="37">
        <f>0.75*AA32</f>
        <v>2357.25</v>
      </c>
    </row>
    <row r="34" spans="10:28" ht="30">
      <c r="J34" s="40" t="s">
        <v>30</v>
      </c>
      <c r="K34" s="40"/>
      <c r="L34" s="40"/>
      <c r="X34" s="33" t="s">
        <v>74</v>
      </c>
      <c r="Y34" s="33" t="s">
        <v>58</v>
      </c>
      <c r="Z34" s="37">
        <f>AB33*AC30</f>
        <v>1131.48</v>
      </c>
      <c r="AB34" s="37">
        <f>0.2*AA32</f>
        <v>628.6</v>
      </c>
    </row>
    <row r="35" spans="10:28">
      <c r="X35" s="37" t="s">
        <v>70</v>
      </c>
      <c r="Y35" s="33" t="s">
        <v>58</v>
      </c>
      <c r="Z35" s="37">
        <f>AB34*AC30</f>
        <v>301.72800000000001</v>
      </c>
      <c r="AB35" s="37">
        <f>0.05*AA32</f>
        <v>157.15</v>
      </c>
    </row>
    <row r="36" spans="10:28">
      <c r="X36" s="37" t="s">
        <v>98</v>
      </c>
      <c r="Y36" s="33" t="s">
        <v>58</v>
      </c>
      <c r="Z36" s="37">
        <f>AB35*AC30</f>
        <v>75.432000000000002</v>
      </c>
    </row>
    <row r="37" spans="10:28" ht="45">
      <c r="X37" s="30" t="s">
        <v>72</v>
      </c>
      <c r="Y37" s="37" t="s">
        <v>56</v>
      </c>
      <c r="Z37" s="37">
        <v>1</v>
      </c>
    </row>
    <row r="38" spans="10:28">
      <c r="X38" s="37" t="s">
        <v>66</v>
      </c>
      <c r="Y38" s="37" t="s">
        <v>69</v>
      </c>
      <c r="Z38" s="37">
        <v>250</v>
      </c>
    </row>
    <row r="39" spans="10:28">
      <c r="X39" s="37" t="s">
        <v>67</v>
      </c>
      <c r="Y39" s="37" t="s">
        <v>69</v>
      </c>
      <c r="Z39" s="37">
        <v>80</v>
      </c>
    </row>
    <row r="40" spans="10:28">
      <c r="X40" s="37" t="s">
        <v>68</v>
      </c>
      <c r="Y40" s="37" t="s">
        <v>69</v>
      </c>
      <c r="Z40" s="37">
        <v>350</v>
      </c>
    </row>
    <row r="42" spans="10:28">
      <c r="K42" s="37" t="s">
        <v>31</v>
      </c>
      <c r="L42" s="37">
        <f>((10.643*((N27/N28)^1.852))/N8)^(1/4.87)</f>
        <v>4.2861751479077698E-2</v>
      </c>
      <c r="M42" s="37" t="s">
        <v>14</v>
      </c>
    </row>
    <row r="45" spans="10:28" ht="15" customHeight="1">
      <c r="J45" s="41" t="s">
        <v>32</v>
      </c>
      <c r="K45" s="41"/>
      <c r="L45" s="41"/>
      <c r="M45" s="41"/>
      <c r="N45" s="41"/>
    </row>
    <row r="46" spans="10:28" ht="15" customHeight="1">
      <c r="J46" s="41"/>
      <c r="K46" s="41"/>
      <c r="L46" s="41"/>
      <c r="M46" s="41"/>
      <c r="N46" s="41"/>
    </row>
    <row r="47" spans="10:28" ht="15" customHeight="1">
      <c r="J47" s="41"/>
      <c r="K47" s="41"/>
      <c r="L47" s="41"/>
      <c r="M47" s="41"/>
      <c r="N47" s="41"/>
    </row>
    <row r="50" spans="10:14">
      <c r="J50" s="42" t="s">
        <v>33</v>
      </c>
      <c r="K50" s="42"/>
      <c r="L50" s="42"/>
      <c r="M50" s="42"/>
      <c r="N50" s="4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 ht="15" customHeight="1">
      <c r="J58" s="43" t="s">
        <v>37</v>
      </c>
      <c r="K58" s="43"/>
      <c r="L58" s="43"/>
      <c r="M58" s="43"/>
      <c r="N58" s="43"/>
    </row>
    <row r="59" spans="10:14" ht="15" customHeight="1">
      <c r="J59" s="44" t="s">
        <v>38</v>
      </c>
      <c r="K59" s="44"/>
      <c r="L59" s="44"/>
      <c r="M59" s="44"/>
      <c r="N59" s="4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37" t="s">
        <v>40</v>
      </c>
      <c r="L62" s="37">
        <v>1.2</v>
      </c>
    </row>
    <row r="63" spans="10:14">
      <c r="K63" s="37" t="s">
        <v>31</v>
      </c>
      <c r="L63" s="37">
        <f>L61^(1/4)*L62*(N27^0.5)</f>
        <v>2.8071145611143423E-2</v>
      </c>
    </row>
  </sheetData>
  <mergeCells count="24">
    <mergeCell ref="X1:AA1"/>
    <mergeCell ref="A2:B2"/>
    <mergeCell ref="A1:C1"/>
    <mergeCell ref="E1:H1"/>
    <mergeCell ref="J1:O1"/>
    <mergeCell ref="R1:U1"/>
    <mergeCell ref="J10:L10"/>
    <mergeCell ref="R10:T10"/>
    <mergeCell ref="R11:T11"/>
    <mergeCell ref="J13:P13"/>
    <mergeCell ref="J28:L28"/>
    <mergeCell ref="J3:N3"/>
    <mergeCell ref="R7:T7"/>
    <mergeCell ref="J8:L8"/>
    <mergeCell ref="R8:U8"/>
    <mergeCell ref="J9:M9"/>
    <mergeCell ref="R9:S9"/>
    <mergeCell ref="J59:N59"/>
    <mergeCell ref="J30:K30"/>
    <mergeCell ref="J31:K31"/>
    <mergeCell ref="J34:L34"/>
    <mergeCell ref="J45:N47"/>
    <mergeCell ref="J50:N50"/>
    <mergeCell ref="J58:N58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oleObject progId="Equation.3" shapeId="4097" r:id="rId4"/>
    <oleObject progId="Equation.3" shapeId="4102" r:id="rId5"/>
    <oleObject progId="Equation.3" shapeId="4107" r:id="rId6"/>
    <oleObject progId="Equation.3" shapeId="4108" r:id="rId7"/>
    <oleObject progId="Equation.3" shapeId="4109" r:id="rId8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AC63"/>
  <sheetViews>
    <sheetView topLeftCell="Q1" workbookViewId="0">
      <selection activeCell="Z38" sqref="Z38"/>
    </sheetView>
  </sheetViews>
  <sheetFormatPr defaultRowHeight="15"/>
  <cols>
    <col min="1" max="1" width="9.140625" style="37" customWidth="1"/>
    <col min="2" max="9" width="9.140625" style="37"/>
    <col min="10" max="10" width="18.85546875" style="37" bestFit="1" customWidth="1"/>
    <col min="11" max="11" width="11.5703125" style="37" customWidth="1"/>
    <col min="12" max="12" width="9.140625" style="37"/>
    <col min="13" max="13" width="9.140625" style="37" customWidth="1"/>
    <col min="14" max="14" width="9.5703125" style="37" bestFit="1" customWidth="1"/>
    <col min="15" max="23" width="9.140625" style="37"/>
    <col min="24" max="24" width="75.28515625" style="37" bestFit="1" customWidth="1"/>
    <col min="25" max="25" width="9.140625" style="37"/>
    <col min="26" max="26" width="11.42578125" style="37" customWidth="1"/>
    <col min="27" max="27" width="0.140625" style="37" customWidth="1"/>
    <col min="28" max="28" width="8.85546875" style="37" hidden="1" customWidth="1"/>
    <col min="29" max="29" width="9.140625" style="37" hidden="1" customWidth="1"/>
    <col min="30" max="16384" width="9.140625" style="37"/>
  </cols>
  <sheetData>
    <row r="1" spans="1:26" ht="15.75">
      <c r="A1" s="48" t="s">
        <v>2</v>
      </c>
      <c r="B1" s="49"/>
      <c r="C1" s="49"/>
      <c r="D1" s="5"/>
      <c r="E1" s="40" t="s">
        <v>3</v>
      </c>
      <c r="F1" s="40"/>
      <c r="G1" s="40"/>
      <c r="H1" s="50"/>
      <c r="J1" s="40" t="s">
        <v>8</v>
      </c>
      <c r="K1" s="40"/>
      <c r="L1" s="40"/>
      <c r="M1" s="40"/>
      <c r="N1" s="40"/>
      <c r="O1" s="40"/>
      <c r="R1" s="51" t="s">
        <v>41</v>
      </c>
      <c r="S1" s="51"/>
      <c r="T1" s="51"/>
      <c r="U1" s="51"/>
      <c r="X1" s="36" t="s">
        <v>61</v>
      </c>
      <c r="Y1" s="36"/>
      <c r="Z1" s="36"/>
    </row>
    <row r="2" spans="1:26">
      <c r="A2" s="52" t="s">
        <v>92</v>
      </c>
      <c r="B2" s="53"/>
    </row>
    <row r="3" spans="1:26" ht="15.75">
      <c r="A3" s="1" t="s">
        <v>0</v>
      </c>
      <c r="B3" s="2" t="s">
        <v>1</v>
      </c>
      <c r="J3" s="40" t="s">
        <v>9</v>
      </c>
      <c r="K3" s="40"/>
      <c r="L3" s="40"/>
      <c r="M3" s="40"/>
      <c r="N3" s="40"/>
      <c r="X3" s="38" t="s">
        <v>62</v>
      </c>
    </row>
    <row r="4" spans="1:26">
      <c r="A4" s="1">
        <v>0</v>
      </c>
      <c r="B4" s="34">
        <v>60</v>
      </c>
    </row>
    <row r="5" spans="1:26">
      <c r="A5" s="1">
        <v>1</v>
      </c>
      <c r="B5" s="3">
        <f>B4*1.05</f>
        <v>63</v>
      </c>
      <c r="X5" s="37" t="s">
        <v>49</v>
      </c>
      <c r="Y5" s="37" t="s">
        <v>55</v>
      </c>
      <c r="Z5" s="37" t="s">
        <v>17</v>
      </c>
    </row>
    <row r="6" spans="1:26">
      <c r="A6" s="1">
        <v>2</v>
      </c>
      <c r="B6" s="3">
        <f t="shared" ref="B6:B24" si="0">B5*1.05</f>
        <v>66.150000000000006</v>
      </c>
      <c r="E6" s="37" t="s">
        <v>4</v>
      </c>
      <c r="F6" s="37" t="s">
        <v>5</v>
      </c>
      <c r="G6" s="37" t="s">
        <v>6</v>
      </c>
      <c r="H6" s="37" t="s">
        <v>7</v>
      </c>
    </row>
    <row r="7" spans="1:26">
      <c r="A7" s="1">
        <v>3</v>
      </c>
      <c r="B7" s="3">
        <f t="shared" si="0"/>
        <v>69.45750000000001</v>
      </c>
      <c r="E7" s="37">
        <v>1.2</v>
      </c>
      <c r="F7" s="37">
        <v>200</v>
      </c>
      <c r="G7" s="23">
        <f>B24</f>
        <v>159.19786230866532</v>
      </c>
      <c r="H7" s="22">
        <f>(E7*F7*G7)/86400</f>
        <v>0.44221628419073705</v>
      </c>
      <c r="R7" s="47" t="s">
        <v>42</v>
      </c>
      <c r="S7" s="47"/>
      <c r="T7" s="47"/>
      <c r="X7" s="37" t="s">
        <v>20</v>
      </c>
      <c r="Y7" s="37" t="s">
        <v>56</v>
      </c>
      <c r="Z7" s="37">
        <v>3</v>
      </c>
    </row>
    <row r="8" spans="1:26">
      <c r="A8" s="1">
        <v>4</v>
      </c>
      <c r="B8" s="3">
        <f t="shared" si="0"/>
        <v>72.930375000000012</v>
      </c>
      <c r="H8" s="37">
        <f>H7*1.75</f>
        <v>0.77387849733378988</v>
      </c>
      <c r="J8" s="47" t="s">
        <v>10</v>
      </c>
      <c r="K8" s="47"/>
      <c r="L8" s="47"/>
      <c r="N8" s="6">
        <f>N9/N10</f>
        <v>5.3941908713692949E-2</v>
      </c>
      <c r="O8" s="37" t="s">
        <v>13</v>
      </c>
      <c r="R8" s="47" t="s">
        <v>43</v>
      </c>
      <c r="S8" s="47"/>
      <c r="T8" s="47"/>
      <c r="U8" s="47"/>
      <c r="V8" s="37">
        <f xml:space="preserve"> 1000</f>
        <v>1000</v>
      </c>
      <c r="X8" s="37" t="s">
        <v>21</v>
      </c>
      <c r="Y8" s="37" t="s">
        <v>56</v>
      </c>
      <c r="Z8" s="37">
        <v>1</v>
      </c>
    </row>
    <row r="9" spans="1:26">
      <c r="A9" s="1">
        <v>5</v>
      </c>
      <c r="B9" s="3">
        <f t="shared" si="0"/>
        <v>76.576893750000011</v>
      </c>
      <c r="J9" s="47" t="s">
        <v>11</v>
      </c>
      <c r="K9" s="47"/>
      <c r="L9" s="47"/>
      <c r="M9" s="47"/>
      <c r="N9" s="21">
        <v>26</v>
      </c>
      <c r="O9" s="37" t="s">
        <v>14</v>
      </c>
      <c r="R9" s="47" t="s">
        <v>44</v>
      </c>
      <c r="S9" s="47"/>
      <c r="X9" s="37" t="s">
        <v>89</v>
      </c>
      <c r="Y9" s="37" t="s">
        <v>56</v>
      </c>
      <c r="Z9" s="37">
        <v>5</v>
      </c>
    </row>
    <row r="10" spans="1:26">
      <c r="A10" s="1">
        <v>6</v>
      </c>
      <c r="B10" s="3">
        <f t="shared" si="0"/>
        <v>80.40573843750002</v>
      </c>
      <c r="J10" s="47" t="s">
        <v>12</v>
      </c>
      <c r="K10" s="47"/>
      <c r="L10" s="47"/>
      <c r="N10" s="21">
        <v>482</v>
      </c>
      <c r="O10" s="37" t="s">
        <v>14</v>
      </c>
      <c r="R10" s="47" t="s">
        <v>45</v>
      </c>
      <c r="S10" s="47"/>
      <c r="T10" s="47"/>
      <c r="X10" s="37" t="s">
        <v>88</v>
      </c>
      <c r="Y10" s="37" t="s">
        <v>56</v>
      </c>
      <c r="Z10" s="37">
        <v>15</v>
      </c>
    </row>
    <row r="11" spans="1:26">
      <c r="A11" s="1">
        <v>7</v>
      </c>
      <c r="B11" s="3">
        <f t="shared" si="0"/>
        <v>84.426025359375018</v>
      </c>
      <c r="R11" s="45" t="s">
        <v>48</v>
      </c>
      <c r="S11" s="45"/>
      <c r="T11" s="45"/>
      <c r="V11" s="16">
        <v>0.7</v>
      </c>
      <c r="X11" s="37" t="s">
        <v>78</v>
      </c>
      <c r="Y11" s="37" t="s">
        <v>14</v>
      </c>
      <c r="Z11" s="37">
        <v>10376</v>
      </c>
    </row>
    <row r="12" spans="1:26">
      <c r="A12" s="1">
        <v>8</v>
      </c>
      <c r="B12" s="3">
        <f t="shared" si="0"/>
        <v>88.647326627343773</v>
      </c>
      <c r="D12" s="37">
        <f>12*5</f>
        <v>60</v>
      </c>
      <c r="R12" s="37" t="s">
        <v>46</v>
      </c>
      <c r="S12" s="37">
        <f>V8*N27*(N9+M21)/(75*0.7)</f>
        <v>0.5778292780092299</v>
      </c>
      <c r="T12" s="37" t="s">
        <v>47</v>
      </c>
      <c r="X12" s="24" t="s">
        <v>85</v>
      </c>
      <c r="Y12" s="37" t="s">
        <v>14</v>
      </c>
      <c r="Z12" s="37">
        <v>324</v>
      </c>
    </row>
    <row r="13" spans="1:26" ht="15.75">
      <c r="A13" s="1">
        <v>9</v>
      </c>
      <c r="B13" s="3">
        <f t="shared" si="0"/>
        <v>93.079692958710964</v>
      </c>
      <c r="J13" s="40" t="s">
        <v>15</v>
      </c>
      <c r="K13" s="40"/>
      <c r="L13" s="40"/>
      <c r="M13" s="40"/>
      <c r="N13" s="40"/>
      <c r="O13" s="40"/>
      <c r="P13" s="40"/>
      <c r="Q13" s="10"/>
      <c r="X13" s="24" t="s">
        <v>86</v>
      </c>
      <c r="Y13" s="37" t="s">
        <v>14</v>
      </c>
      <c r="Z13" s="37">
        <v>450</v>
      </c>
    </row>
    <row r="14" spans="1:26">
      <c r="A14" s="1">
        <v>10</v>
      </c>
      <c r="B14" s="3">
        <f t="shared" si="0"/>
        <v>97.733677606646523</v>
      </c>
      <c r="X14" s="25" t="s">
        <v>87</v>
      </c>
      <c r="Y14" s="37" t="s">
        <v>56</v>
      </c>
      <c r="Z14" s="27">
        <v>1</v>
      </c>
    </row>
    <row r="15" spans="1:26" ht="16.5" customHeight="1">
      <c r="A15" s="1">
        <v>11</v>
      </c>
      <c r="B15" s="3">
        <f t="shared" si="0"/>
        <v>102.62036148697885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82</v>
      </c>
      <c r="Y15" s="37" t="s">
        <v>56</v>
      </c>
      <c r="Z15" s="27">
        <v>14</v>
      </c>
    </row>
    <row r="16" spans="1:26">
      <c r="A16" s="1">
        <v>12</v>
      </c>
      <c r="B16" s="3">
        <f t="shared" si="0"/>
        <v>107.75137956132779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80</v>
      </c>
      <c r="Y16" s="37" t="s">
        <v>56</v>
      </c>
      <c r="Z16" s="37">
        <v>12</v>
      </c>
    </row>
    <row r="17" spans="1:26">
      <c r="A17" s="1">
        <v>13</v>
      </c>
      <c r="B17" s="3">
        <f t="shared" si="0"/>
        <v>113.13894853939419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83</v>
      </c>
      <c r="Y17" s="37" t="s">
        <v>56</v>
      </c>
      <c r="Z17" s="27">
        <v>9</v>
      </c>
    </row>
    <row r="18" spans="1:26">
      <c r="A18" s="1">
        <v>14</v>
      </c>
      <c r="B18" s="3">
        <f t="shared" si="0"/>
        <v>118.7958959663639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90</v>
      </c>
      <c r="Y18" s="37" t="s">
        <v>56</v>
      </c>
      <c r="Z18" s="27">
        <v>3</v>
      </c>
    </row>
    <row r="19" spans="1:26">
      <c r="A19" s="1">
        <v>15</v>
      </c>
      <c r="B19" s="3">
        <f t="shared" si="0"/>
        <v>124.7356907646821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84</v>
      </c>
      <c r="Y19" s="37" t="s">
        <v>56</v>
      </c>
      <c r="Z19" s="27">
        <v>3</v>
      </c>
    </row>
    <row r="20" spans="1:26">
      <c r="A20" s="1">
        <v>16</v>
      </c>
      <c r="B20" s="3">
        <f t="shared" si="0"/>
        <v>130.97247530291622</v>
      </c>
      <c r="J20" s="18"/>
      <c r="K20" s="20"/>
      <c r="L20" s="19"/>
      <c r="M20" s="19"/>
      <c r="X20" s="28" t="s">
        <v>73</v>
      </c>
      <c r="Y20" s="37" t="s">
        <v>56</v>
      </c>
      <c r="Z20" s="29">
        <v>1</v>
      </c>
    </row>
    <row r="21" spans="1:26">
      <c r="A21" s="1">
        <v>17</v>
      </c>
      <c r="B21" s="3">
        <f t="shared" si="0"/>
        <v>137.52109906806203</v>
      </c>
      <c r="L21" s="9" t="s">
        <v>24</v>
      </c>
      <c r="M21" s="37">
        <f>SUM(M16:M20)</f>
        <v>13.200000000000001</v>
      </c>
      <c r="X21" s="37" t="s">
        <v>76</v>
      </c>
      <c r="Y21" s="37" t="s">
        <v>56</v>
      </c>
      <c r="Z21" s="29">
        <v>2</v>
      </c>
    </row>
    <row r="22" spans="1:26">
      <c r="A22" s="1">
        <v>18</v>
      </c>
      <c r="B22" s="3">
        <f t="shared" si="0"/>
        <v>144.39715402146513</v>
      </c>
      <c r="X22" s="37" t="s">
        <v>81</v>
      </c>
      <c r="Y22" s="37" t="s">
        <v>56</v>
      </c>
      <c r="Z22" s="29">
        <v>3</v>
      </c>
    </row>
    <row r="23" spans="1:26" ht="15.75">
      <c r="A23" s="1">
        <v>19</v>
      </c>
      <c r="B23" s="3">
        <f t="shared" si="0"/>
        <v>151.61701172253839</v>
      </c>
      <c r="X23" s="38" t="s">
        <v>79</v>
      </c>
      <c r="Y23" s="38"/>
      <c r="Z23" s="38"/>
    </row>
    <row r="24" spans="1:26">
      <c r="A24" s="4">
        <v>20</v>
      </c>
      <c r="B24" s="17">
        <f t="shared" si="0"/>
        <v>159.19786230866532</v>
      </c>
      <c r="X24" s="37" t="s">
        <v>49</v>
      </c>
      <c r="Y24" s="37" t="s">
        <v>55</v>
      </c>
      <c r="Z24" s="37" t="s">
        <v>17</v>
      </c>
    </row>
    <row r="26" spans="1:26">
      <c r="X26" s="37" t="s">
        <v>50</v>
      </c>
      <c r="Y26" s="37" t="s">
        <v>57</v>
      </c>
      <c r="Z26" s="37">
        <v>45</v>
      </c>
    </row>
    <row r="27" spans="1:26">
      <c r="J27" s="37" t="s">
        <v>27</v>
      </c>
      <c r="N27" s="22">
        <f>H8/1000</f>
        <v>7.7387849733378991E-4</v>
      </c>
      <c r="X27" s="37" t="s">
        <v>51</v>
      </c>
      <c r="Y27" s="37" t="s">
        <v>58</v>
      </c>
      <c r="Z27" s="37">
        <v>4</v>
      </c>
    </row>
    <row r="28" spans="1:26">
      <c r="J28" s="46" t="s">
        <v>25</v>
      </c>
      <c r="K28" s="46"/>
      <c r="L28" s="46"/>
      <c r="N28" s="22">
        <v>140</v>
      </c>
      <c r="X28" s="37" t="s">
        <v>71</v>
      </c>
      <c r="Y28" s="37" t="s">
        <v>59</v>
      </c>
      <c r="Z28" s="37">
        <v>200</v>
      </c>
    </row>
    <row r="29" spans="1:26">
      <c r="J29" s="37" t="s">
        <v>26</v>
      </c>
      <c r="N29" s="37">
        <v>0.05</v>
      </c>
      <c r="X29" s="37" t="s">
        <v>52</v>
      </c>
      <c r="Y29" s="37" t="s">
        <v>60</v>
      </c>
      <c r="Z29" s="37">
        <v>250</v>
      </c>
    </row>
    <row r="30" spans="1:26">
      <c r="J30" s="47" t="s">
        <v>28</v>
      </c>
      <c r="K30" s="47"/>
      <c r="N30" s="37">
        <f>M21</f>
        <v>13.200000000000001</v>
      </c>
      <c r="X30" s="37" t="s">
        <v>53</v>
      </c>
      <c r="Y30" s="37" t="s">
        <v>59</v>
      </c>
      <c r="Z30" s="37">
        <v>10</v>
      </c>
    </row>
    <row r="31" spans="1:26">
      <c r="J31" s="47" t="s">
        <v>29</v>
      </c>
      <c r="K31" s="47"/>
      <c r="N31" s="37">
        <f>10.643*((N27/N28)^1.852)*(N30/(N29^4.87))</f>
        <v>5.582734033630591E-2</v>
      </c>
      <c r="X31" s="37" t="s">
        <v>54</v>
      </c>
      <c r="Y31" s="37" t="s">
        <v>58</v>
      </c>
      <c r="Z31" s="37">
        <v>65</v>
      </c>
    </row>
    <row r="33" spans="10:29" ht="15.75">
      <c r="X33" s="36" t="s">
        <v>63</v>
      </c>
      <c r="Y33" s="35"/>
      <c r="Z33" s="35"/>
      <c r="AC33" s="37">
        <f>0.8*0.6</f>
        <v>0.48</v>
      </c>
    </row>
    <row r="34" spans="10:29" ht="15.75">
      <c r="J34" s="40" t="s">
        <v>30</v>
      </c>
      <c r="K34" s="40"/>
      <c r="L34" s="40"/>
      <c r="Y34" s="37" t="s">
        <v>55</v>
      </c>
      <c r="Z34" s="37" t="s">
        <v>17</v>
      </c>
    </row>
    <row r="35" spans="10:29">
      <c r="X35" s="31" t="s">
        <v>64</v>
      </c>
      <c r="Y35" s="37" t="s">
        <v>14</v>
      </c>
      <c r="Z35" s="37">
        <f>Z11</f>
        <v>10376</v>
      </c>
      <c r="AA35" s="37">
        <f>SUM(Z35:Z37)</f>
        <v>11150</v>
      </c>
    </row>
    <row r="36" spans="10:29">
      <c r="X36" s="32" t="s">
        <v>77</v>
      </c>
      <c r="Y36" s="37" t="s">
        <v>14</v>
      </c>
      <c r="Z36" s="37">
        <f>Z12</f>
        <v>324</v>
      </c>
      <c r="AB36" s="37">
        <f>0.75*AA35</f>
        <v>8362.5</v>
      </c>
    </row>
    <row r="37" spans="10:29">
      <c r="X37" s="32" t="s">
        <v>65</v>
      </c>
      <c r="Y37" s="37" t="s">
        <v>14</v>
      </c>
      <c r="Z37" s="37">
        <f>Z13</f>
        <v>450</v>
      </c>
      <c r="AB37" s="37">
        <f>0.2*AA35</f>
        <v>2230</v>
      </c>
    </row>
    <row r="38" spans="10:29">
      <c r="X38" s="33" t="s">
        <v>74</v>
      </c>
      <c r="Y38" s="33" t="s">
        <v>58</v>
      </c>
      <c r="Z38" s="37">
        <f>AB36*AC33</f>
        <v>4014</v>
      </c>
      <c r="AB38" s="37">
        <f>0.05*AA35</f>
        <v>557.5</v>
      </c>
    </row>
    <row r="39" spans="10:29">
      <c r="X39" s="37" t="s">
        <v>70</v>
      </c>
      <c r="Y39" s="33" t="s">
        <v>58</v>
      </c>
      <c r="Z39" s="37">
        <f>AB37*AC33</f>
        <v>1070.3999999999999</v>
      </c>
    </row>
    <row r="40" spans="10:29">
      <c r="X40" s="37" t="s">
        <v>75</v>
      </c>
      <c r="Y40" s="33" t="s">
        <v>58</v>
      </c>
      <c r="Z40" s="37">
        <f>AB38*AC33</f>
        <v>267.59999999999997</v>
      </c>
    </row>
    <row r="41" spans="10:29" ht="30">
      <c r="X41" s="30" t="s">
        <v>72</v>
      </c>
      <c r="Y41" s="37" t="s">
        <v>56</v>
      </c>
      <c r="Z41" s="37">
        <v>1</v>
      </c>
    </row>
    <row r="42" spans="10:29">
      <c r="K42" s="37" t="s">
        <v>31</v>
      </c>
      <c r="L42" s="37">
        <f>((10.643*((N27/N28)^1.852))/N8)^(1/4.87)</f>
        <v>2.9643977293748715E-2</v>
      </c>
      <c r="M42" s="37" t="s">
        <v>14</v>
      </c>
      <c r="X42" s="37" t="s">
        <v>66</v>
      </c>
      <c r="Y42" s="37" t="s">
        <v>69</v>
      </c>
      <c r="Z42" s="37">
        <v>250</v>
      </c>
    </row>
    <row r="43" spans="10:29">
      <c r="X43" s="37" t="s">
        <v>67</v>
      </c>
      <c r="Y43" s="37" t="s">
        <v>69</v>
      </c>
      <c r="Z43" s="37">
        <v>80</v>
      </c>
    </row>
    <row r="44" spans="10:29">
      <c r="X44" s="37" t="s">
        <v>68</v>
      </c>
      <c r="Y44" s="37" t="s">
        <v>69</v>
      </c>
      <c r="Z44" s="37">
        <v>350</v>
      </c>
    </row>
    <row r="45" spans="10:29">
      <c r="J45" s="41" t="s">
        <v>32</v>
      </c>
      <c r="K45" s="41"/>
      <c r="L45" s="41"/>
      <c r="M45" s="41"/>
      <c r="N45" s="41"/>
    </row>
    <row r="46" spans="10:29">
      <c r="J46" s="41"/>
      <c r="K46" s="41"/>
      <c r="L46" s="41"/>
      <c r="M46" s="41"/>
      <c r="N46" s="41"/>
    </row>
    <row r="47" spans="10:29">
      <c r="J47" s="41"/>
      <c r="K47" s="41"/>
      <c r="L47" s="41"/>
      <c r="M47" s="41"/>
      <c r="N47" s="41"/>
    </row>
    <row r="50" spans="10:14">
      <c r="J50" s="42" t="s">
        <v>33</v>
      </c>
      <c r="K50" s="42"/>
      <c r="L50" s="42"/>
      <c r="M50" s="42"/>
      <c r="N50" s="4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 ht="15" customHeight="1">
      <c r="J58" s="43" t="s">
        <v>37</v>
      </c>
      <c r="K58" s="43"/>
      <c r="L58" s="43"/>
      <c r="M58" s="43"/>
      <c r="N58" s="43"/>
    </row>
    <row r="59" spans="10:14" ht="15" customHeight="1">
      <c r="J59" s="44" t="s">
        <v>38</v>
      </c>
      <c r="K59" s="44"/>
      <c r="L59" s="44"/>
      <c r="M59" s="44"/>
      <c r="N59" s="4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37" t="s">
        <v>40</v>
      </c>
      <c r="L62" s="37">
        <v>1.2</v>
      </c>
    </row>
    <row r="63" spans="10:14">
      <c r="K63" s="37" t="s">
        <v>31</v>
      </c>
      <c r="L63" s="37">
        <f>L61^(1/4)*L62*(N27^0.5)</f>
        <v>2.8071145611143423E-2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5121" r:id="rId3"/>
    <oleObject progId="Equation.3" shapeId="5126" r:id="rId4"/>
    <oleObject progId="Equation.3" shapeId="5127" r:id="rId5"/>
    <oleObject progId="Equation.3" shapeId="5132" r:id="rId6"/>
    <oleObject progId="Equation.3" shapeId="5133" r:id="rId7"/>
    <oleObject progId="Equation.3" shapeId="5134" r:id="rId8"/>
    <oleObject progId="Equation.3" shapeId="5135" r:id="rId9"/>
    <oleObject progId="Equation.3" shapeId="5136" r:id="rId10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AC63"/>
  <sheetViews>
    <sheetView tabSelected="1" topLeftCell="N1" workbookViewId="0">
      <selection activeCell="Z17" sqref="Z17"/>
    </sheetView>
  </sheetViews>
  <sheetFormatPr defaultRowHeight="15"/>
  <cols>
    <col min="1" max="1" width="9.140625" style="37" customWidth="1"/>
    <col min="2" max="9" width="9.140625" style="37"/>
    <col min="10" max="10" width="18.85546875" style="37" bestFit="1" customWidth="1"/>
    <col min="11" max="11" width="11.5703125" style="37" customWidth="1"/>
    <col min="12" max="12" width="9.140625" style="37"/>
    <col min="13" max="13" width="9.140625" style="37" customWidth="1"/>
    <col min="14" max="14" width="9.5703125" style="37" bestFit="1" customWidth="1"/>
    <col min="15" max="23" width="9.140625" style="37"/>
    <col min="24" max="24" width="75.28515625" style="37" bestFit="1" customWidth="1"/>
    <col min="25" max="25" width="9.140625" style="37"/>
    <col min="26" max="26" width="11.42578125" style="37" customWidth="1"/>
    <col min="27" max="27" width="0.140625" style="37" customWidth="1"/>
    <col min="28" max="28" width="8.85546875" style="37" hidden="1" customWidth="1"/>
    <col min="29" max="29" width="9.140625" style="37" hidden="1" customWidth="1"/>
    <col min="30" max="16384" width="9.140625" style="37"/>
  </cols>
  <sheetData>
    <row r="1" spans="1:26" ht="15.75">
      <c r="A1" s="48" t="s">
        <v>2</v>
      </c>
      <c r="B1" s="49"/>
      <c r="C1" s="49"/>
      <c r="D1" s="5"/>
      <c r="E1" s="40" t="s">
        <v>3</v>
      </c>
      <c r="F1" s="40"/>
      <c r="G1" s="40"/>
      <c r="H1" s="50"/>
      <c r="J1" s="40" t="s">
        <v>8</v>
      </c>
      <c r="K1" s="40"/>
      <c r="L1" s="40"/>
      <c r="M1" s="40"/>
      <c r="N1" s="40"/>
      <c r="O1" s="40"/>
      <c r="R1" s="51" t="s">
        <v>41</v>
      </c>
      <c r="S1" s="51"/>
      <c r="T1" s="51"/>
      <c r="U1" s="51"/>
      <c r="X1" s="36" t="s">
        <v>61</v>
      </c>
      <c r="Y1" s="36"/>
      <c r="Z1" s="36"/>
    </row>
    <row r="2" spans="1:26">
      <c r="A2" s="52" t="s">
        <v>91</v>
      </c>
      <c r="B2" s="53"/>
    </row>
    <row r="3" spans="1:26" ht="15.75">
      <c r="A3" s="1" t="s">
        <v>0</v>
      </c>
      <c r="B3" s="2" t="s">
        <v>1</v>
      </c>
      <c r="J3" s="40" t="s">
        <v>9</v>
      </c>
      <c r="K3" s="40"/>
      <c r="L3" s="40"/>
      <c r="M3" s="40"/>
      <c r="N3" s="40"/>
      <c r="X3" s="38" t="s">
        <v>62</v>
      </c>
    </row>
    <row r="4" spans="1:26">
      <c r="A4" s="1">
        <v>0</v>
      </c>
      <c r="B4" s="34">
        <v>55</v>
      </c>
    </row>
    <row r="5" spans="1:26">
      <c r="A5" s="1">
        <v>1</v>
      </c>
      <c r="B5" s="3">
        <f>B4*1.05</f>
        <v>57.75</v>
      </c>
      <c r="X5" s="37" t="s">
        <v>49</v>
      </c>
      <c r="Y5" s="37" t="s">
        <v>55</v>
      </c>
      <c r="Z5" s="37" t="s">
        <v>17</v>
      </c>
    </row>
    <row r="6" spans="1:26">
      <c r="A6" s="1">
        <v>2</v>
      </c>
      <c r="B6" s="3">
        <f t="shared" ref="B6:B24" si="0">B5*1.05</f>
        <v>60.637500000000003</v>
      </c>
      <c r="E6" s="37" t="s">
        <v>4</v>
      </c>
      <c r="F6" s="37" t="s">
        <v>5</v>
      </c>
      <c r="G6" s="37" t="s">
        <v>6</v>
      </c>
      <c r="H6" s="37" t="s">
        <v>7</v>
      </c>
    </row>
    <row r="7" spans="1:26">
      <c r="A7" s="1">
        <v>3</v>
      </c>
      <c r="B7" s="3">
        <f t="shared" si="0"/>
        <v>63.669375000000002</v>
      </c>
      <c r="E7" s="37">
        <v>1.2</v>
      </c>
      <c r="F7" s="37">
        <v>200</v>
      </c>
      <c r="G7" s="23">
        <f>B24</f>
        <v>145.93137378294327</v>
      </c>
      <c r="H7" s="22">
        <f>(E7*F7*G7)/86400</f>
        <v>0.4053649271748424</v>
      </c>
      <c r="R7" s="47" t="s">
        <v>42</v>
      </c>
      <c r="S7" s="47"/>
      <c r="T7" s="47"/>
      <c r="X7" s="37" t="s">
        <v>20</v>
      </c>
      <c r="Y7" s="37" t="s">
        <v>56</v>
      </c>
      <c r="Z7" s="37">
        <v>3</v>
      </c>
    </row>
    <row r="8" spans="1:26">
      <c r="A8" s="1">
        <v>4</v>
      </c>
      <c r="B8" s="3">
        <f t="shared" si="0"/>
        <v>66.852843750000005</v>
      </c>
      <c r="H8" s="37">
        <f>H7*1.75</f>
        <v>0.70938862255597424</v>
      </c>
      <c r="J8" s="47" t="s">
        <v>10</v>
      </c>
      <c r="K8" s="47"/>
      <c r="L8" s="47"/>
      <c r="N8" s="6">
        <f>N9/N10</f>
        <v>2.6385224274406333E-2</v>
      </c>
      <c r="O8" s="37" t="s">
        <v>13</v>
      </c>
      <c r="R8" s="47" t="s">
        <v>43</v>
      </c>
      <c r="S8" s="47"/>
      <c r="T8" s="47"/>
      <c r="U8" s="47"/>
      <c r="V8" s="37">
        <f xml:space="preserve"> 1000</f>
        <v>1000</v>
      </c>
      <c r="X8" s="37" t="s">
        <v>21</v>
      </c>
      <c r="Y8" s="37" t="s">
        <v>56</v>
      </c>
      <c r="Z8" s="37">
        <v>1</v>
      </c>
    </row>
    <row r="9" spans="1:26">
      <c r="A9" s="1">
        <v>5</v>
      </c>
      <c r="B9" s="3">
        <f t="shared" si="0"/>
        <v>70.19548593750001</v>
      </c>
      <c r="J9" s="47" t="s">
        <v>11</v>
      </c>
      <c r="K9" s="47"/>
      <c r="L9" s="47"/>
      <c r="M9" s="47"/>
      <c r="N9" s="21">
        <v>20</v>
      </c>
      <c r="O9" s="37" t="s">
        <v>14</v>
      </c>
      <c r="R9" s="47" t="s">
        <v>44</v>
      </c>
      <c r="S9" s="47"/>
      <c r="X9" s="37" t="s">
        <v>89</v>
      </c>
      <c r="Y9" s="37" t="s">
        <v>56</v>
      </c>
      <c r="Z9" s="37">
        <v>5</v>
      </c>
    </row>
    <row r="10" spans="1:26">
      <c r="A10" s="1">
        <v>6</v>
      </c>
      <c r="B10" s="3">
        <f t="shared" si="0"/>
        <v>73.705260234375018</v>
      </c>
      <c r="J10" s="47" t="s">
        <v>12</v>
      </c>
      <c r="K10" s="47"/>
      <c r="L10" s="47"/>
      <c r="N10" s="21">
        <v>758</v>
      </c>
      <c r="O10" s="37" t="s">
        <v>14</v>
      </c>
      <c r="R10" s="47" t="s">
        <v>45</v>
      </c>
      <c r="S10" s="47"/>
      <c r="T10" s="47"/>
      <c r="X10" s="37" t="s">
        <v>88</v>
      </c>
      <c r="Y10" s="37" t="s">
        <v>56</v>
      </c>
      <c r="Z10" s="37">
        <v>15</v>
      </c>
    </row>
    <row r="11" spans="1:26">
      <c r="A11" s="1">
        <v>7</v>
      </c>
      <c r="B11" s="3">
        <f t="shared" si="0"/>
        <v>77.390523246093778</v>
      </c>
      <c r="R11" s="45" t="s">
        <v>48</v>
      </c>
      <c r="S11" s="45"/>
      <c r="T11" s="45"/>
      <c r="V11" s="16">
        <v>0.7</v>
      </c>
      <c r="X11" s="37" t="s">
        <v>78</v>
      </c>
      <c r="Y11" s="37" t="s">
        <v>14</v>
      </c>
      <c r="Z11" s="37">
        <v>12954</v>
      </c>
    </row>
    <row r="12" spans="1:26">
      <c r="A12" s="1">
        <v>8</v>
      </c>
      <c r="B12" s="3">
        <f t="shared" si="0"/>
        <v>81.260049408398473</v>
      </c>
      <c r="D12" s="37">
        <f>11*5</f>
        <v>55</v>
      </c>
      <c r="R12" s="37" t="s">
        <v>46</v>
      </c>
      <c r="S12" s="37">
        <f>V8*N27*(N9+M21)/(75*0.7)</f>
        <v>0.44860385274015896</v>
      </c>
      <c r="T12" s="37" t="s">
        <v>47</v>
      </c>
      <c r="X12" s="24" t="s">
        <v>85</v>
      </c>
      <c r="Y12" s="37" t="s">
        <v>14</v>
      </c>
      <c r="Z12" s="37">
        <v>1216</v>
      </c>
    </row>
    <row r="13" spans="1:26" ht="15.75">
      <c r="A13" s="1">
        <v>9</v>
      </c>
      <c r="B13" s="3">
        <f t="shared" si="0"/>
        <v>85.323051878818404</v>
      </c>
      <c r="J13" s="40" t="s">
        <v>15</v>
      </c>
      <c r="K13" s="40"/>
      <c r="L13" s="40"/>
      <c r="M13" s="40"/>
      <c r="N13" s="40"/>
      <c r="O13" s="40"/>
      <c r="P13" s="40"/>
      <c r="Q13" s="10"/>
      <c r="X13" s="24" t="s">
        <v>86</v>
      </c>
      <c r="Y13" s="37" t="s">
        <v>14</v>
      </c>
      <c r="Z13" s="37">
        <v>521</v>
      </c>
    </row>
    <row r="14" spans="1:26">
      <c r="A14" s="1">
        <v>10</v>
      </c>
      <c r="B14" s="3">
        <f t="shared" si="0"/>
        <v>89.589204472759334</v>
      </c>
      <c r="X14" s="25" t="s">
        <v>87</v>
      </c>
      <c r="Y14" s="37" t="s">
        <v>56</v>
      </c>
      <c r="Z14" s="27">
        <v>1</v>
      </c>
    </row>
    <row r="15" spans="1:26" ht="14.25" customHeight="1">
      <c r="A15" s="1">
        <v>11</v>
      </c>
      <c r="B15" s="3">
        <f t="shared" si="0"/>
        <v>94.068664696397306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82</v>
      </c>
      <c r="Y15" s="37" t="s">
        <v>56</v>
      </c>
      <c r="Z15" s="27">
        <v>13</v>
      </c>
    </row>
    <row r="16" spans="1:26">
      <c r="A16" s="1">
        <v>12</v>
      </c>
      <c r="B16" s="3">
        <f t="shared" si="0"/>
        <v>98.772097931217175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80</v>
      </c>
      <c r="Y16" s="37" t="s">
        <v>56</v>
      </c>
      <c r="Z16" s="37">
        <v>11</v>
      </c>
    </row>
    <row r="17" spans="1:26">
      <c r="A17" s="1">
        <v>13</v>
      </c>
      <c r="B17" s="3">
        <f t="shared" si="0"/>
        <v>103.71070282777804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83</v>
      </c>
      <c r="Y17" s="37" t="s">
        <v>56</v>
      </c>
      <c r="Z17" s="27">
        <v>4</v>
      </c>
    </row>
    <row r="18" spans="1:26">
      <c r="A18" s="1">
        <v>14</v>
      </c>
      <c r="B18" s="3">
        <f t="shared" si="0"/>
        <v>108.89623796916695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6" t="s">
        <v>90</v>
      </c>
      <c r="Y18" s="37" t="s">
        <v>56</v>
      </c>
      <c r="Z18" s="27">
        <v>7</v>
      </c>
    </row>
    <row r="19" spans="1:26">
      <c r="A19" s="1">
        <v>15</v>
      </c>
      <c r="B19" s="3">
        <f t="shared" si="0"/>
        <v>114.3410498676253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5" t="s">
        <v>84</v>
      </c>
      <c r="Y19" s="37" t="s">
        <v>56</v>
      </c>
      <c r="Z19" s="27">
        <v>7</v>
      </c>
    </row>
    <row r="20" spans="1:26">
      <c r="A20" s="1">
        <v>16</v>
      </c>
      <c r="B20" s="3">
        <f t="shared" si="0"/>
        <v>120.05810236100658</v>
      </c>
      <c r="J20" s="18"/>
      <c r="K20" s="20"/>
      <c r="L20" s="19"/>
      <c r="M20" s="19"/>
      <c r="X20" s="28" t="s">
        <v>73</v>
      </c>
      <c r="Y20" s="37" t="s">
        <v>56</v>
      </c>
      <c r="Z20" s="29">
        <v>1</v>
      </c>
    </row>
    <row r="21" spans="1:26">
      <c r="A21" s="1">
        <v>17</v>
      </c>
      <c r="B21" s="3">
        <f t="shared" si="0"/>
        <v>126.06100747905691</v>
      </c>
      <c r="L21" s="9" t="s">
        <v>24</v>
      </c>
      <c r="M21" s="37">
        <f>SUM(M16:M20)</f>
        <v>13.200000000000001</v>
      </c>
      <c r="X21" s="37" t="s">
        <v>76</v>
      </c>
      <c r="Y21" s="37" t="s">
        <v>56</v>
      </c>
      <c r="Z21" s="29">
        <v>2</v>
      </c>
    </row>
    <row r="22" spans="1:26">
      <c r="A22" s="1">
        <v>18</v>
      </c>
      <c r="B22" s="3">
        <f t="shared" si="0"/>
        <v>132.36405785300977</v>
      </c>
      <c r="X22" s="37" t="s">
        <v>81</v>
      </c>
      <c r="Y22" s="37" t="s">
        <v>56</v>
      </c>
      <c r="Z22" s="29">
        <v>3</v>
      </c>
    </row>
    <row r="23" spans="1:26" ht="15.75">
      <c r="A23" s="1">
        <v>19</v>
      </c>
      <c r="B23" s="3">
        <f t="shared" si="0"/>
        <v>138.98226074566026</v>
      </c>
      <c r="X23" s="38" t="s">
        <v>79</v>
      </c>
      <c r="Y23" s="38"/>
      <c r="Z23" s="38"/>
    </row>
    <row r="24" spans="1:26">
      <c r="A24" s="4">
        <v>20</v>
      </c>
      <c r="B24" s="17">
        <f t="shared" si="0"/>
        <v>145.93137378294327</v>
      </c>
      <c r="X24" s="37" t="s">
        <v>49</v>
      </c>
      <c r="Y24" s="37" t="s">
        <v>55</v>
      </c>
      <c r="Z24" s="37" t="s">
        <v>17</v>
      </c>
    </row>
    <row r="26" spans="1:26">
      <c r="X26" s="37" t="s">
        <v>50</v>
      </c>
      <c r="Y26" s="37" t="s">
        <v>57</v>
      </c>
      <c r="Z26" s="37">
        <v>45</v>
      </c>
    </row>
    <row r="27" spans="1:26">
      <c r="J27" s="37" t="s">
        <v>27</v>
      </c>
      <c r="N27" s="22">
        <f>H8/1000</f>
        <v>7.0938862255597425E-4</v>
      </c>
      <c r="X27" s="37" t="s">
        <v>51</v>
      </c>
      <c r="Y27" s="37" t="s">
        <v>58</v>
      </c>
      <c r="Z27" s="37">
        <v>4</v>
      </c>
    </row>
    <row r="28" spans="1:26">
      <c r="J28" s="46" t="s">
        <v>25</v>
      </c>
      <c r="K28" s="46"/>
      <c r="L28" s="46"/>
      <c r="N28" s="22">
        <v>140</v>
      </c>
      <c r="X28" s="37" t="s">
        <v>71</v>
      </c>
      <c r="Y28" s="37" t="s">
        <v>59</v>
      </c>
      <c r="Z28" s="37">
        <v>200</v>
      </c>
    </row>
    <row r="29" spans="1:26">
      <c r="J29" s="37" t="s">
        <v>26</v>
      </c>
      <c r="N29" s="37">
        <v>0.05</v>
      </c>
      <c r="X29" s="37" t="s">
        <v>52</v>
      </c>
      <c r="Y29" s="37" t="s">
        <v>60</v>
      </c>
      <c r="Z29" s="37">
        <v>250</v>
      </c>
    </row>
    <row r="30" spans="1:26">
      <c r="J30" s="47" t="s">
        <v>28</v>
      </c>
      <c r="K30" s="47"/>
      <c r="N30" s="37">
        <f>M21</f>
        <v>13.200000000000001</v>
      </c>
      <c r="X30" s="37" t="s">
        <v>53</v>
      </c>
      <c r="Y30" s="37" t="s">
        <v>59</v>
      </c>
      <c r="Z30" s="37">
        <v>10</v>
      </c>
    </row>
    <row r="31" spans="1:26">
      <c r="J31" s="47" t="s">
        <v>29</v>
      </c>
      <c r="K31" s="47"/>
      <c r="N31" s="37">
        <f>10.643*((N27/N28)^1.852)*(N30/(N29^4.87))</f>
        <v>4.7518478164843253E-2</v>
      </c>
      <c r="X31" s="37" t="s">
        <v>54</v>
      </c>
      <c r="Y31" s="37" t="s">
        <v>58</v>
      </c>
      <c r="Z31" s="37">
        <v>65</v>
      </c>
    </row>
    <row r="33" spans="10:29" ht="15.75">
      <c r="X33" s="36" t="s">
        <v>63</v>
      </c>
      <c r="Y33" s="35"/>
      <c r="Z33" s="35"/>
      <c r="AC33" s="37">
        <f>0.8*0.6</f>
        <v>0.48</v>
      </c>
    </row>
    <row r="34" spans="10:29" ht="15.75">
      <c r="J34" s="40" t="s">
        <v>30</v>
      </c>
      <c r="K34" s="40"/>
      <c r="L34" s="40"/>
      <c r="Y34" s="37" t="s">
        <v>55</v>
      </c>
      <c r="Z34" s="37" t="s">
        <v>17</v>
      </c>
    </row>
    <row r="35" spans="10:29">
      <c r="X35" s="31" t="s">
        <v>64</v>
      </c>
      <c r="Y35" s="37" t="s">
        <v>14</v>
      </c>
      <c r="Z35" s="37">
        <f>Z11</f>
        <v>12954</v>
      </c>
      <c r="AA35" s="37">
        <f>SUM(Z35:Z37)</f>
        <v>14691</v>
      </c>
    </row>
    <row r="36" spans="10:29">
      <c r="X36" s="32" t="s">
        <v>77</v>
      </c>
      <c r="Y36" s="37" t="s">
        <v>14</v>
      </c>
      <c r="Z36" s="37">
        <f>Z12</f>
        <v>1216</v>
      </c>
      <c r="AB36" s="37">
        <f>0.75*AA35</f>
        <v>11018.25</v>
      </c>
    </row>
    <row r="37" spans="10:29">
      <c r="X37" s="32" t="s">
        <v>65</v>
      </c>
      <c r="Y37" s="37" t="s">
        <v>14</v>
      </c>
      <c r="Z37" s="37">
        <f>Z13</f>
        <v>521</v>
      </c>
      <c r="AB37" s="37">
        <f>0.2*AA35</f>
        <v>2938.2000000000003</v>
      </c>
    </row>
    <row r="38" spans="10:29">
      <c r="X38" s="33" t="s">
        <v>74</v>
      </c>
      <c r="Y38" s="33" t="s">
        <v>58</v>
      </c>
      <c r="Z38" s="37">
        <f>AB36*AC33</f>
        <v>5288.76</v>
      </c>
      <c r="AB38" s="37">
        <f>0.05*AA35</f>
        <v>734.55000000000007</v>
      </c>
    </row>
    <row r="39" spans="10:29">
      <c r="X39" s="37" t="s">
        <v>70</v>
      </c>
      <c r="Y39" s="33" t="s">
        <v>58</v>
      </c>
      <c r="Z39" s="37">
        <f>AB37*AC33</f>
        <v>1410.336</v>
      </c>
    </row>
    <row r="40" spans="10:29">
      <c r="X40" s="37" t="s">
        <v>75</v>
      </c>
      <c r="Y40" s="33" t="s">
        <v>58</v>
      </c>
      <c r="Z40" s="37">
        <f>AB38*AC33</f>
        <v>352.584</v>
      </c>
    </row>
    <row r="41" spans="10:29" ht="30">
      <c r="X41" s="30" t="s">
        <v>72</v>
      </c>
      <c r="Y41" s="37" t="s">
        <v>56</v>
      </c>
      <c r="Z41" s="37">
        <v>1</v>
      </c>
    </row>
    <row r="42" spans="10:29">
      <c r="K42" s="37" t="s">
        <v>31</v>
      </c>
      <c r="L42" s="37">
        <f>((10.643*((N27/N28)^1.852))/N8)^(1/4.87)</f>
        <v>3.3215218178246776E-2</v>
      </c>
      <c r="M42" s="37" t="s">
        <v>14</v>
      </c>
      <c r="X42" s="37" t="s">
        <v>66</v>
      </c>
      <c r="Y42" s="37" t="s">
        <v>69</v>
      </c>
      <c r="Z42" s="37">
        <v>250</v>
      </c>
    </row>
    <row r="43" spans="10:29">
      <c r="X43" s="37" t="s">
        <v>67</v>
      </c>
      <c r="Y43" s="37" t="s">
        <v>69</v>
      </c>
      <c r="Z43" s="37">
        <v>80</v>
      </c>
    </row>
    <row r="44" spans="10:29">
      <c r="X44" s="37" t="s">
        <v>68</v>
      </c>
      <c r="Y44" s="37" t="s">
        <v>69</v>
      </c>
      <c r="Z44" s="37">
        <v>350</v>
      </c>
    </row>
    <row r="45" spans="10:29">
      <c r="J45" s="41" t="s">
        <v>32</v>
      </c>
      <c r="K45" s="41"/>
      <c r="L45" s="41"/>
      <c r="M45" s="41"/>
      <c r="N45" s="41"/>
    </row>
    <row r="46" spans="10:29">
      <c r="J46" s="41"/>
      <c r="K46" s="41"/>
      <c r="L46" s="41"/>
      <c r="M46" s="41"/>
      <c r="N46" s="41"/>
    </row>
    <row r="47" spans="10:29">
      <c r="J47" s="41"/>
      <c r="K47" s="41"/>
      <c r="L47" s="41"/>
      <c r="M47" s="41"/>
      <c r="N47" s="41"/>
    </row>
    <row r="50" spans="10:14">
      <c r="J50" s="42" t="s">
        <v>33</v>
      </c>
      <c r="K50" s="42"/>
      <c r="L50" s="42"/>
      <c r="M50" s="42"/>
      <c r="N50" s="42"/>
    </row>
    <row r="51" spans="10:14" ht="15.75">
      <c r="J51" s="11"/>
    </row>
    <row r="52" spans="10:14" ht="15.75">
      <c r="J52" s="11"/>
    </row>
    <row r="53" spans="10:14" ht="15.75">
      <c r="J53" s="11"/>
    </row>
    <row r="54" spans="10:14" ht="18">
      <c r="J54" s="12" t="s">
        <v>34</v>
      </c>
    </row>
    <row r="55" spans="10:14" ht="15.75">
      <c r="J55" s="11"/>
    </row>
    <row r="56" spans="10:14">
      <c r="J56" s="13" t="s">
        <v>35</v>
      </c>
    </row>
    <row r="57" spans="10:14">
      <c r="J57" s="13" t="s">
        <v>36</v>
      </c>
    </row>
    <row r="58" spans="10:14" ht="15" customHeight="1">
      <c r="J58" s="43" t="s">
        <v>37</v>
      </c>
      <c r="K58" s="43"/>
      <c r="L58" s="43"/>
      <c r="M58" s="43"/>
      <c r="N58" s="43"/>
    </row>
    <row r="59" spans="10:14" ht="15" customHeight="1">
      <c r="J59" s="44" t="s">
        <v>38</v>
      </c>
      <c r="K59" s="44"/>
      <c r="L59" s="44"/>
      <c r="M59" s="44"/>
      <c r="N59" s="44"/>
    </row>
    <row r="60" spans="10:14">
      <c r="J60" s="14"/>
      <c r="K60" s="14"/>
      <c r="L60" s="14"/>
      <c r="M60" s="14"/>
      <c r="N60" s="14"/>
    </row>
    <row r="61" spans="10:14">
      <c r="K61" s="15" t="s">
        <v>39</v>
      </c>
      <c r="L61" s="15">
        <v>0.5</v>
      </c>
      <c r="M61" s="15"/>
      <c r="N61" s="15"/>
    </row>
    <row r="62" spans="10:14">
      <c r="K62" s="37" t="s">
        <v>40</v>
      </c>
      <c r="L62" s="37">
        <v>1.2</v>
      </c>
    </row>
    <row r="63" spans="10:14">
      <c r="K63" s="37" t="s">
        <v>31</v>
      </c>
      <c r="L63" s="37">
        <f>L61^(1/4)*L62*(N27^0.5)</f>
        <v>2.6876075753884076E-2</v>
      </c>
    </row>
  </sheetData>
  <mergeCells count="23"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</mergeCells>
  <pageMargins left="0.511811024" right="0.511811024" top="0.78740157499999996" bottom="0.78740157499999996" header="0.31496062000000002" footer="0.31496062000000002"/>
  <drawing r:id="rId1"/>
  <legacyDrawing r:id="rId2"/>
  <oleObjects>
    <oleObject progId="Equation.3" shapeId="6145" r:id="rId3"/>
    <oleObject progId="Equation.3" shapeId="6150" r:id="rId4"/>
    <oleObject progId="Equation.3" shapeId="6151" r:id="rId5"/>
    <oleObject progId="Equation.3" shapeId="6152" r:id="rId6"/>
    <oleObject progId="Equation.3" shapeId="6157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Água Boa</vt:lpstr>
      <vt:lpstr>Leite</vt:lpstr>
      <vt:lpstr>Riacho dos Cavalos</vt:lpstr>
      <vt:lpstr>Veredinha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2012-09-13T18:43:16Z</dcterms:created>
  <dcterms:modified xsi:type="dcterms:W3CDTF">2012-10-16T18:20:00Z</dcterms:modified>
</cp:coreProperties>
</file>