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 activeTab="4"/>
  </bookViews>
  <sheets>
    <sheet name="Boqueirão" sheetId="1" r:id="rId1"/>
    <sheet name="Brutia" sheetId="2" r:id="rId2"/>
    <sheet name="Pintado" sheetId="3" r:id="rId3"/>
    <sheet name="Assa Peixe " sheetId="4" r:id="rId4"/>
    <sheet name="Carrapicho" sheetId="5" r:id="rId5"/>
  </sheets>
  <calcPr calcId="124519"/>
</workbook>
</file>

<file path=xl/calcChain.xml><?xml version="1.0" encoding="utf-8"?>
<calcChain xmlns="http://schemas.openxmlformats.org/spreadsheetml/2006/main">
  <c r="S12" i="5"/>
  <c r="S12" i="4"/>
  <c r="S12" i="3"/>
  <c r="S12" i="2"/>
  <c r="S12" i="1"/>
  <c r="H8" i="5"/>
  <c r="H8" i="4"/>
  <c r="H8" i="3"/>
  <c r="Z36" i="5"/>
  <c r="Z35"/>
  <c r="Z34"/>
  <c r="AC32"/>
  <c r="Z36" i="4"/>
  <c r="Z35"/>
  <c r="Z34"/>
  <c r="AC32"/>
  <c r="Z36" i="3"/>
  <c r="Z35"/>
  <c r="Z34"/>
  <c r="AC33"/>
  <c r="Z36" i="2"/>
  <c r="Z35"/>
  <c r="Z34"/>
  <c r="AC32"/>
  <c r="H8"/>
  <c r="H8" i="1"/>
  <c r="Z35"/>
  <c r="AA34" i="5" l="1"/>
  <c r="AB37" s="1"/>
  <c r="Z39" s="1"/>
  <c r="AB36"/>
  <c r="Z38" s="1"/>
  <c r="AA34" i="4"/>
  <c r="AB37" s="1"/>
  <c r="Z39" s="1"/>
  <c r="AB36"/>
  <c r="Z38" s="1"/>
  <c r="AA35" i="3"/>
  <c r="AB38" s="1"/>
  <c r="Z39" s="1"/>
  <c r="AB37"/>
  <c r="Z38" s="1"/>
  <c r="AA34" i="2"/>
  <c r="AB37" s="1"/>
  <c r="Z39" s="1"/>
  <c r="D11" i="3"/>
  <c r="D11" i="2"/>
  <c r="AE30" i="5"/>
  <c r="Z36" i="1"/>
  <c r="Z34"/>
  <c r="AA34" s="1"/>
  <c r="AC32"/>
  <c r="AB35" i="5" l="1"/>
  <c r="Z37" s="1"/>
  <c r="AB35" i="4"/>
  <c r="Z37" s="1"/>
  <c r="AB36" i="3"/>
  <c r="Z37" s="1"/>
  <c r="AB36" i="2"/>
  <c r="Z38" s="1"/>
  <c r="AB35"/>
  <c r="Z37" s="1"/>
  <c r="AB37" i="1"/>
  <c r="Z39" s="1"/>
  <c r="AB35"/>
  <c r="Z37" s="1"/>
  <c r="D11" i="5"/>
  <c r="M19"/>
  <c r="M18"/>
  <c r="M17"/>
  <c r="M16"/>
  <c r="V8"/>
  <c r="N8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G7" s="1"/>
  <c r="H7" s="1"/>
  <c r="N27" s="1"/>
  <c r="D11" i="4"/>
  <c r="M19"/>
  <c r="M18"/>
  <c r="M17"/>
  <c r="M16"/>
  <c r="M21" s="1"/>
  <c r="N30" s="1"/>
  <c r="V8"/>
  <c r="N8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G7" s="1"/>
  <c r="H7" s="1"/>
  <c r="N27" s="1"/>
  <c r="M21" i="3"/>
  <c r="N30" s="1"/>
  <c r="M19"/>
  <c r="M18"/>
  <c r="M17"/>
  <c r="M16"/>
  <c r="V8"/>
  <c r="N8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G7" s="1"/>
  <c r="H7" s="1"/>
  <c r="N27" s="1"/>
  <c r="D12" i="1"/>
  <c r="M19" i="2"/>
  <c r="M18"/>
  <c r="M17"/>
  <c r="M16"/>
  <c r="M21" s="1"/>
  <c r="N30" s="1"/>
  <c r="V8"/>
  <c r="N8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G7" s="1"/>
  <c r="H7" s="1"/>
  <c r="N27" s="1"/>
  <c r="M19" i="1"/>
  <c r="M18"/>
  <c r="M17"/>
  <c r="M16"/>
  <c r="V8"/>
  <c r="N8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G7" s="1"/>
  <c r="H7" s="1"/>
  <c r="N27" s="1"/>
  <c r="M21" l="1"/>
  <c r="N30" s="1"/>
  <c r="AB36"/>
  <c r="Z38" s="1"/>
  <c r="M21" i="5"/>
  <c r="N30" s="1"/>
  <c r="L42"/>
  <c r="L63"/>
  <c r="N31"/>
  <c r="L42" i="4"/>
  <c r="L63"/>
  <c r="N31"/>
  <c r="L42" i="3"/>
  <c r="L63"/>
  <c r="N31"/>
  <c r="L42" i="2"/>
  <c r="L63"/>
  <c r="N31"/>
  <c r="L42" i="1"/>
  <c r="L63"/>
  <c r="N31"/>
</calcChain>
</file>

<file path=xl/comments1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2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3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4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5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sharedStrings.xml><?xml version="1.0" encoding="utf-8"?>
<sst xmlns="http://schemas.openxmlformats.org/spreadsheetml/2006/main" count="645" uniqueCount="105">
  <si>
    <t>Previsão da população</t>
  </si>
  <si>
    <t>Cálculo do Consumo Específico</t>
  </si>
  <si>
    <t>Dimensionamento de adutora de recalque simples</t>
  </si>
  <si>
    <t>Dimensionamento da Bomba</t>
  </si>
  <si>
    <t>Ano</t>
  </si>
  <si>
    <t>População</t>
  </si>
  <si>
    <t>Calculo de perda de carga unitária</t>
  </si>
  <si>
    <t>K1</t>
  </si>
  <si>
    <t>q</t>
  </si>
  <si>
    <t>P</t>
  </si>
  <si>
    <t>Q</t>
  </si>
  <si>
    <t>P = potencia da Bomba</t>
  </si>
  <si>
    <t>J= Perda de carga unitária</t>
  </si>
  <si>
    <t>m/m</t>
  </si>
  <si>
    <r>
      <rPr>
        <sz val="11"/>
        <color theme="1"/>
        <rFont val="Symbol"/>
        <family val="1"/>
        <charset val="2"/>
      </rPr>
      <t xml:space="preserve">g = </t>
    </r>
    <r>
      <rPr>
        <sz val="11"/>
        <color theme="1"/>
        <rFont val="Calibri"/>
        <family val="2"/>
        <scheme val="minor"/>
      </rPr>
      <t>densidade espacifica da água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</si>
  <si>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h = Diferença de nivel do poço a caixa</t>
    </r>
  </si>
  <si>
    <t>m</t>
  </si>
  <si>
    <t>Q = vazão requerida</t>
  </si>
  <si>
    <t>L = Comprimento da adutora</t>
  </si>
  <si>
    <t>Hm = Altura manometrica</t>
  </si>
  <si>
    <r>
      <rPr>
        <sz val="11"/>
        <color theme="1"/>
        <rFont val="Symbol"/>
        <family val="1"/>
        <charset val="2"/>
      </rPr>
      <t>h</t>
    </r>
    <r>
      <rPr>
        <sz val="11"/>
        <color theme="1"/>
        <rFont val="Calibri"/>
        <family val="2"/>
      </rPr>
      <t xml:space="preserve"> = rendimento da bomba</t>
    </r>
  </si>
  <si>
    <t>p =</t>
  </si>
  <si>
    <t>CV</t>
  </si>
  <si>
    <t>Calculo de Perda de carga localizada (comprimentos equivalentes)</t>
  </si>
  <si>
    <t>Peças</t>
  </si>
  <si>
    <t>Quantidade</t>
  </si>
  <si>
    <t>C. Eq. (m)</t>
  </si>
  <si>
    <t>Total</t>
  </si>
  <si>
    <t>Registro de gaveta</t>
  </si>
  <si>
    <t>Válvula de retenção</t>
  </si>
  <si>
    <t>Curva de 90º</t>
  </si>
  <si>
    <t>Curva de 45º</t>
  </si>
  <si>
    <t>∑</t>
  </si>
  <si>
    <t>Q = Vazão (m3/s)</t>
  </si>
  <si>
    <t>C = Coeficiente de rugosidade da tubulação</t>
  </si>
  <si>
    <t>D = diametro da tubulação (m)</t>
  </si>
  <si>
    <t>L = Comprimento equivalente (m)</t>
  </si>
  <si>
    <t>J loc = perda de carga localizada</t>
  </si>
  <si>
    <t>Calculo do diametro da adutora</t>
  </si>
  <si>
    <t>D =</t>
  </si>
  <si>
    <t>Dimensionamento de Encanamento de recalque em razão da quantidade de horas que o equipamento estará em uso</t>
  </si>
  <si>
    <t>Com o auxílio da equação de Bresse modificada:</t>
  </si>
  <si>
    <t xml:space="preserve"> </t>
  </si>
  <si>
    <t>K = 1,2;</t>
  </si>
  <si>
    <t>Q = vazão em m³/s.</t>
  </si>
  <si>
    <t>n= nº de horas que o sistema estará em funcionamento, no nosso caso o sistema de abastecimento com conveniência está funcionando das 18 às 06h, ou seja, na razão de doze horas por dia.</t>
  </si>
  <si>
    <t>Q=vazão necessária para atendimento da população e dos empreendimentos locais, onde usaremos Q=0,002785 m³/s</t>
  </si>
  <si>
    <t>B =  12/24</t>
  </si>
  <si>
    <t xml:space="preserve">K = </t>
  </si>
  <si>
    <t>Brutia</t>
  </si>
  <si>
    <t>Boqueirão</t>
  </si>
  <si>
    <t>Assa Peixe</t>
  </si>
  <si>
    <t>Pintado</t>
  </si>
  <si>
    <t>Carrapicho</t>
  </si>
  <si>
    <t>INSUMOS</t>
  </si>
  <si>
    <t>Material adutora e distribuição</t>
  </si>
  <si>
    <t>Material</t>
  </si>
  <si>
    <t>Unidade</t>
  </si>
  <si>
    <t>und</t>
  </si>
  <si>
    <t>Tubo BPA 50 mm classe 15</t>
  </si>
  <si>
    <t xml:space="preserve">Flange </t>
  </si>
  <si>
    <t>Conexão T 50 mm</t>
  </si>
  <si>
    <t>Bomba submersa</t>
  </si>
  <si>
    <t>Caixa de passagem em alvenaria (0,30 X 0,30 X 0,30 m)</t>
  </si>
  <si>
    <t>Cimento</t>
  </si>
  <si>
    <t>Sc</t>
  </si>
  <si>
    <t>Areia lavada</t>
  </si>
  <si>
    <t>m³</t>
  </si>
  <si>
    <t>Armação em barra de aço 4,2 mm</t>
  </si>
  <si>
    <t>Kg</t>
  </si>
  <si>
    <t>Q 92 - TELA EM ACO SOLDADA - MALHA 15 x 15 cm - FIO ∅ 4,2 mm</t>
  </si>
  <si>
    <t>m²</t>
  </si>
  <si>
    <t>Tela hexagonal 1/2"-fio 24</t>
  </si>
  <si>
    <t>Arame recozido</t>
  </si>
  <si>
    <t>Cimbramento em pontaletes de madeira</t>
  </si>
  <si>
    <t>SERVIÇOS</t>
  </si>
  <si>
    <t>Assentamento de tubos e conexões de PVC JE DN 50</t>
  </si>
  <si>
    <t>Assentamento de tubos e conexões PVC JS DN 25 mm</t>
  </si>
  <si>
    <t>Escavação mecânica de valas (solo seco), profundidade até 1,50 m (1x 0,8x0,6) 75%</t>
  </si>
  <si>
    <t>Escavação manual em solo profundidade até 1,50 m (1x 0,8x0,6) 20%</t>
  </si>
  <si>
    <t>Escavação e carga mecânica de valas, rocha branda, à frio</t>
  </si>
  <si>
    <t>Montagem e instalação de poço tubular profundo, diâmetro da tubulação de extração de 4", profundidade de instalação da bomba entre 60 m a 120 m</t>
  </si>
  <si>
    <t xml:space="preserve">Pedreiro </t>
  </si>
  <si>
    <t>h</t>
  </si>
  <si>
    <t>Armador</t>
  </si>
  <si>
    <t>Servente</t>
  </si>
  <si>
    <t>Reservatórios: 1 Caixas d'água de ferrocimento (100 m³)</t>
  </si>
  <si>
    <t xml:space="preserve">Tubo PVC 32 mm Classe 15 </t>
  </si>
  <si>
    <t xml:space="preserve">Tubo PVC 25 mm Classe 15 </t>
  </si>
  <si>
    <t>Assentamento de tubos e conexões PVC JS DN 32 mm</t>
  </si>
  <si>
    <t>Bucha c/ redução 32 x 25</t>
  </si>
  <si>
    <t>Bucha c/ redução 50 x 25</t>
  </si>
  <si>
    <t>Adaptador PVC BSA PBA x PTA FOFO 50 mm</t>
  </si>
  <si>
    <t>CAP 50 mm</t>
  </si>
  <si>
    <t>Conexão T PBA50 mm</t>
  </si>
  <si>
    <t>Bucha c/ redução PVC 50 x 25</t>
  </si>
  <si>
    <t>Bucha c/ redução PVC 32 x 25</t>
  </si>
  <si>
    <t>Flange 50 mm</t>
  </si>
  <si>
    <t xml:space="preserve">CAP 50 mm </t>
  </si>
  <si>
    <t>Tubo BPA 50 mm classe 12</t>
  </si>
  <si>
    <t>Tubo PVC 32 mm Classe 12</t>
  </si>
  <si>
    <t>Tubo PVC 25 mm Classe 12</t>
  </si>
  <si>
    <t>Bucha c/ redução 50 x 25 PVC</t>
  </si>
  <si>
    <t>Bucha c/ redução 32 x 25 PVC</t>
  </si>
  <si>
    <t>Conexão T PBA 50 mm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</si>
</sst>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3" fontId="9" fillId="0" borderId="0"/>
  </cellStyleXfs>
  <cellXfs count="61">
    <xf numFmtId="0" fontId="0" fillId="0" borderId="0" xfId="0"/>
    <xf numFmtId="0" fontId="1" fillId="0" borderId="2" xfId="0" applyFont="1" applyBorder="1" applyAlignment="1"/>
    <xf numFmtId="0" fontId="0" fillId="0" borderId="4" xfId="0" applyBorder="1"/>
    <xf numFmtId="0" fontId="0" fillId="0" borderId="0" xfId="0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0" xfId="0" applyNumberFormat="1" applyFill="1"/>
    <xf numFmtId="0" fontId="0" fillId="0" borderId="0" xfId="0" applyFill="1"/>
    <xf numFmtId="165" fontId="0" fillId="0" borderId="0" xfId="0" applyNumberFormat="1"/>
    <xf numFmtId="0" fontId="0" fillId="2" borderId="0" xfId="0" applyFill="1"/>
    <xf numFmtId="9" fontId="0" fillId="0" borderId="0" xfId="0" applyNumberFormat="1"/>
    <xf numFmtId="0" fontId="1" fillId="0" borderId="0" xfId="0" applyFont="1" applyAlignment="1"/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vertical="top" wrapText="1"/>
    </xf>
    <xf numFmtId="0" fontId="0" fillId="0" borderId="0" xfId="0" applyFont="1" applyBorder="1" applyAlignment="1">
      <alignment horizontal="center" vertical="top" wrapText="1"/>
    </xf>
    <xf numFmtId="0" fontId="0" fillId="0" borderId="0" xfId="0" applyFont="1" applyFill="1" applyBorder="1" applyAlignment="1">
      <alignment horizontal="justify" vertical="top" wrapText="1"/>
    </xf>
    <xf numFmtId="0" fontId="0" fillId="0" borderId="0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0" fillId="0" borderId="5" xfId="0" applyBorder="1"/>
    <xf numFmtId="164" fontId="0" fillId="2" borderId="0" xfId="0" applyNumberFormat="1" applyFill="1" applyBorder="1"/>
    <xf numFmtId="0" fontId="4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0" fillId="0" borderId="0" xfId="0" applyFont="1" applyAlignment="1">
      <alignment horizontal="justify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/>
    <xf numFmtId="0" fontId="8" fillId="0" borderId="0" xfId="0" applyFont="1"/>
    <xf numFmtId="0" fontId="8" fillId="0" borderId="0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right" vertical="top" wrapText="1"/>
    </xf>
    <xf numFmtId="0" fontId="8" fillId="0" borderId="0" xfId="0" applyFont="1" applyBorder="1" applyAlignment="1">
      <alignment horizontal="justify" wrapText="1"/>
    </xf>
    <xf numFmtId="0" fontId="8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right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Font="1" applyAlignment="1">
      <alignment horizontal="left"/>
    </xf>
    <xf numFmtId="3" fontId="10" fillId="0" borderId="0" xfId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Font="1" applyAlignment="1"/>
    <xf numFmtId="0" fontId="0" fillId="0" borderId="0" xfId="0" applyAlignment="1">
      <alignment horizontal="justify" vertical="top"/>
    </xf>
    <xf numFmtId="0" fontId="0" fillId="0" borderId="0" xfId="0" applyAlignment="1">
      <alignment vertical="top" wrapText="1"/>
    </xf>
    <xf numFmtId="0" fontId="3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/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2">
    <cellStyle name="Normal" xfId="0" builtinId="0"/>
    <cellStyle name="Normal_Estrutura_de_preços_-_CODEVASF_versão10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29100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86550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7059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99822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29100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86550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7059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99822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29100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86550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7059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99822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29100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86550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7059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99822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29100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86550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7059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99822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.bin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5.bin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63"/>
  <sheetViews>
    <sheetView topLeftCell="R1" workbookViewId="0">
      <selection activeCell="X16" sqref="X16"/>
    </sheetView>
  </sheetViews>
  <sheetFormatPr defaultRowHeight="15"/>
  <cols>
    <col min="1" max="1" width="9.140625" customWidth="1"/>
    <col min="10" max="10" width="18.85546875" bestFit="1" customWidth="1"/>
    <col min="11" max="11" width="11.5703125" customWidth="1"/>
    <col min="13" max="13" width="9.140625" customWidth="1"/>
    <col min="14" max="14" width="9.5703125" bestFit="1" customWidth="1"/>
    <col min="24" max="24" width="75.28515625" bestFit="1" customWidth="1"/>
    <col min="26" max="26" width="11.42578125" customWidth="1"/>
    <col min="27" max="27" width="8.85546875" hidden="1" customWidth="1"/>
    <col min="28" max="29" width="9" hidden="1" customWidth="1"/>
  </cols>
  <sheetData>
    <row r="1" spans="1:29" ht="15.75">
      <c r="A1" s="55" t="s">
        <v>0</v>
      </c>
      <c r="B1" s="56"/>
      <c r="C1" s="56"/>
      <c r="D1" s="1"/>
      <c r="E1" s="52" t="s">
        <v>1</v>
      </c>
      <c r="F1" s="52"/>
      <c r="G1" s="52"/>
      <c r="H1" s="57"/>
      <c r="J1" s="52" t="s">
        <v>2</v>
      </c>
      <c r="K1" s="52"/>
      <c r="L1" s="52"/>
      <c r="M1" s="52"/>
      <c r="N1" s="52"/>
      <c r="O1" s="52"/>
      <c r="R1" s="58" t="s">
        <v>3</v>
      </c>
      <c r="S1" s="58"/>
      <c r="T1" s="58"/>
      <c r="U1" s="58"/>
      <c r="X1" s="26" t="s">
        <v>54</v>
      </c>
      <c r="Y1" s="26"/>
      <c r="Z1" s="26"/>
      <c r="AA1" s="27"/>
      <c r="AB1" s="27"/>
      <c r="AC1" s="27"/>
    </row>
    <row r="2" spans="1:29">
      <c r="A2" s="59" t="s">
        <v>50</v>
      </c>
      <c r="B2" s="60"/>
      <c r="X2" s="27"/>
      <c r="Y2" s="27"/>
      <c r="Z2" s="27"/>
      <c r="AA2" s="27"/>
      <c r="AB2" s="27"/>
      <c r="AC2" s="27"/>
    </row>
    <row r="3" spans="1:29" ht="15.75">
      <c r="A3" s="2" t="s">
        <v>4</v>
      </c>
      <c r="B3" s="3" t="s">
        <v>5</v>
      </c>
      <c r="J3" s="52" t="s">
        <v>6</v>
      </c>
      <c r="K3" s="52"/>
      <c r="L3" s="52"/>
      <c r="M3" s="52"/>
      <c r="N3" s="52"/>
      <c r="X3" s="28" t="s">
        <v>55</v>
      </c>
      <c r="Y3" s="27"/>
      <c r="Z3" s="27"/>
      <c r="AA3" s="27"/>
      <c r="AB3" s="27"/>
      <c r="AC3" s="27"/>
    </row>
    <row r="4" spans="1:29">
      <c r="A4" s="2">
        <v>0</v>
      </c>
      <c r="B4" s="4">
        <v>135</v>
      </c>
      <c r="X4" s="27"/>
      <c r="Y4" s="27"/>
      <c r="Z4" s="27"/>
      <c r="AA4" s="27"/>
      <c r="AB4" s="27"/>
      <c r="AC4" s="27"/>
    </row>
    <row r="5" spans="1:29">
      <c r="A5" s="2">
        <v>1</v>
      </c>
      <c r="B5" s="5">
        <f>B4*1.05</f>
        <v>141.75</v>
      </c>
      <c r="X5" s="27" t="s">
        <v>56</v>
      </c>
      <c r="Y5" s="27" t="s">
        <v>57</v>
      </c>
      <c r="Z5" s="27" t="s">
        <v>25</v>
      </c>
      <c r="AA5" s="27"/>
      <c r="AB5" s="27"/>
      <c r="AC5" s="27"/>
    </row>
    <row r="6" spans="1:29">
      <c r="A6" s="2">
        <v>2</v>
      </c>
      <c r="B6" s="5">
        <f t="shared" ref="B6:B24" si="0">B5*1.05</f>
        <v>148.83750000000001</v>
      </c>
      <c r="E6" t="s">
        <v>7</v>
      </c>
      <c r="F6" t="s">
        <v>8</v>
      </c>
      <c r="G6" t="s">
        <v>9</v>
      </c>
      <c r="H6" t="s">
        <v>10</v>
      </c>
      <c r="X6" s="27"/>
      <c r="Y6" s="27"/>
      <c r="Z6" s="27"/>
      <c r="AA6" s="27"/>
      <c r="AB6" s="27"/>
      <c r="AC6" s="27"/>
    </row>
    <row r="7" spans="1:29">
      <c r="A7" s="2">
        <v>3</v>
      </c>
      <c r="B7" s="5">
        <f t="shared" si="0"/>
        <v>156.27937500000002</v>
      </c>
      <c r="E7">
        <v>1.2</v>
      </c>
      <c r="F7">
        <v>200</v>
      </c>
      <c r="G7" s="6">
        <f>B24</f>
        <v>358.19519019449712</v>
      </c>
      <c r="H7" s="7">
        <f>(E7*F7*G7)/86400</f>
        <v>0.99498663942915877</v>
      </c>
      <c r="R7" s="54" t="s">
        <v>11</v>
      </c>
      <c r="S7" s="54"/>
      <c r="T7" s="54"/>
      <c r="X7" s="27" t="s">
        <v>28</v>
      </c>
      <c r="Y7" s="27" t="s">
        <v>58</v>
      </c>
      <c r="Z7" s="27">
        <v>3</v>
      </c>
      <c r="AA7" s="27"/>
      <c r="AB7" s="27"/>
      <c r="AC7" s="27"/>
    </row>
    <row r="8" spans="1:29">
      <c r="A8" s="2">
        <v>4</v>
      </c>
      <c r="B8" s="5">
        <f t="shared" si="0"/>
        <v>164.09334375000003</v>
      </c>
      <c r="H8">
        <f>H7*1.75</f>
        <v>1.7412266190010279</v>
      </c>
      <c r="J8" s="54" t="s">
        <v>12</v>
      </c>
      <c r="K8" s="54"/>
      <c r="L8" s="54"/>
      <c r="N8" s="8">
        <f>N9/N10</f>
        <v>3.5415325177076629E-2</v>
      </c>
      <c r="O8" t="s">
        <v>13</v>
      </c>
      <c r="R8" s="54" t="s">
        <v>14</v>
      </c>
      <c r="S8" s="54"/>
      <c r="T8" s="54"/>
      <c r="U8" s="54"/>
      <c r="V8">
        <f xml:space="preserve"> 1000</f>
        <v>1000</v>
      </c>
      <c r="X8" s="27" t="s">
        <v>29</v>
      </c>
      <c r="Y8" s="27" t="s">
        <v>58</v>
      </c>
      <c r="Z8" s="27">
        <v>1</v>
      </c>
      <c r="AA8" s="27"/>
      <c r="AB8" s="27"/>
      <c r="AC8" s="27"/>
    </row>
    <row r="9" spans="1:29">
      <c r="A9" s="2">
        <v>5</v>
      </c>
      <c r="B9" s="5">
        <f t="shared" si="0"/>
        <v>172.29801093750004</v>
      </c>
      <c r="J9" s="54" t="s">
        <v>15</v>
      </c>
      <c r="K9" s="54"/>
      <c r="L9" s="54"/>
      <c r="M9" s="54"/>
      <c r="N9" s="9">
        <v>55</v>
      </c>
      <c r="O9" t="s">
        <v>16</v>
      </c>
      <c r="R9" s="54" t="s">
        <v>17</v>
      </c>
      <c r="S9" s="54"/>
      <c r="X9" s="27" t="s">
        <v>30</v>
      </c>
      <c r="Y9" s="27" t="s">
        <v>58</v>
      </c>
      <c r="Z9" s="27">
        <v>5</v>
      </c>
      <c r="AA9" s="27"/>
      <c r="AB9" s="27"/>
      <c r="AC9" s="27"/>
    </row>
    <row r="10" spans="1:29">
      <c r="A10" s="2">
        <v>6</v>
      </c>
      <c r="B10" s="5">
        <f t="shared" si="0"/>
        <v>180.91291148437506</v>
      </c>
      <c r="J10" s="54" t="s">
        <v>18</v>
      </c>
      <c r="K10" s="54"/>
      <c r="L10" s="54"/>
      <c r="N10" s="9">
        <v>1553</v>
      </c>
      <c r="O10" t="s">
        <v>16</v>
      </c>
      <c r="R10" s="54" t="s">
        <v>19</v>
      </c>
      <c r="S10" s="54"/>
      <c r="T10" s="54"/>
      <c r="X10" s="27" t="s">
        <v>31</v>
      </c>
      <c r="Y10" s="27" t="s">
        <v>58</v>
      </c>
      <c r="Z10" s="27">
        <v>15</v>
      </c>
      <c r="AA10" s="27"/>
      <c r="AB10" s="27"/>
      <c r="AC10" s="27"/>
    </row>
    <row r="11" spans="1:29">
      <c r="A11" s="2">
        <v>7</v>
      </c>
      <c r="B11" s="5">
        <f t="shared" si="0"/>
        <v>189.95855705859381</v>
      </c>
      <c r="R11" s="51" t="s">
        <v>20</v>
      </c>
      <c r="S11" s="51"/>
      <c r="T11" s="51"/>
      <c r="V11" s="10">
        <v>0.7</v>
      </c>
      <c r="X11" s="27" t="s">
        <v>59</v>
      </c>
      <c r="Y11" s="27" t="s">
        <v>16</v>
      </c>
      <c r="Z11" s="27">
        <v>3912</v>
      </c>
      <c r="AA11" s="27"/>
      <c r="AB11" s="27"/>
      <c r="AC11" s="27"/>
    </row>
    <row r="12" spans="1:29">
      <c r="A12" s="2">
        <v>8</v>
      </c>
      <c r="B12" s="5">
        <f t="shared" si="0"/>
        <v>199.45648491152352</v>
      </c>
      <c r="D12">
        <f>27*5</f>
        <v>135</v>
      </c>
      <c r="R12" t="s">
        <v>21</v>
      </c>
      <c r="S12">
        <f>V8*N27*(N9+M21)/(75*0.7)</f>
        <v>2.2619362936356211</v>
      </c>
      <c r="T12" t="s">
        <v>22</v>
      </c>
      <c r="X12" s="29" t="s">
        <v>87</v>
      </c>
      <c r="Y12" s="41" t="s">
        <v>16</v>
      </c>
      <c r="Z12">
        <v>1028</v>
      </c>
    </row>
    <row r="13" spans="1:29" ht="15.75">
      <c r="A13" s="2">
        <v>9</v>
      </c>
      <c r="B13" s="5">
        <f t="shared" si="0"/>
        <v>209.42930915709971</v>
      </c>
      <c r="J13" s="52" t="s">
        <v>23</v>
      </c>
      <c r="K13" s="52"/>
      <c r="L13" s="52"/>
      <c r="M13" s="52"/>
      <c r="N13" s="52"/>
      <c r="O13" s="52"/>
      <c r="P13" s="52"/>
      <c r="Q13" s="11"/>
      <c r="X13" s="29" t="s">
        <v>88</v>
      </c>
      <c r="Y13" s="27" t="s">
        <v>16</v>
      </c>
      <c r="Z13" s="27">
        <v>728</v>
      </c>
      <c r="AA13" s="27"/>
      <c r="AB13" s="27"/>
      <c r="AC13" s="27"/>
    </row>
    <row r="14" spans="1:29">
      <c r="A14" s="2">
        <v>10</v>
      </c>
      <c r="B14" s="5">
        <f t="shared" si="0"/>
        <v>219.90077461495471</v>
      </c>
      <c r="X14" s="30" t="s">
        <v>60</v>
      </c>
      <c r="Y14" s="27" t="s">
        <v>58</v>
      </c>
      <c r="Z14" s="31">
        <v>1</v>
      </c>
      <c r="AA14" s="27"/>
      <c r="AB14" s="27"/>
      <c r="AC14" s="27"/>
    </row>
    <row r="15" spans="1:29" ht="15" customHeight="1">
      <c r="A15" s="2">
        <v>11</v>
      </c>
      <c r="B15" s="5">
        <f t="shared" si="0"/>
        <v>230.89581334570246</v>
      </c>
      <c r="J15" s="12" t="s">
        <v>24</v>
      </c>
      <c r="K15" s="12" t="s">
        <v>25</v>
      </c>
      <c r="L15" s="12" t="s">
        <v>26</v>
      </c>
      <c r="M15" s="13" t="s">
        <v>27</v>
      </c>
      <c r="X15" s="32" t="s">
        <v>61</v>
      </c>
      <c r="Y15" s="27" t="s">
        <v>58</v>
      </c>
      <c r="Z15" s="31">
        <v>28</v>
      </c>
      <c r="AA15" s="27"/>
      <c r="AB15" s="27"/>
      <c r="AC15" s="27"/>
    </row>
    <row r="16" spans="1:29" ht="15" customHeight="1">
      <c r="A16" s="2">
        <v>12</v>
      </c>
      <c r="B16" s="5">
        <f t="shared" si="0"/>
        <v>242.44060401298759</v>
      </c>
      <c r="J16" s="12" t="s">
        <v>28</v>
      </c>
      <c r="K16" s="14">
        <v>1</v>
      </c>
      <c r="L16" s="14">
        <v>0.4</v>
      </c>
      <c r="M16" s="14">
        <f>L16*K16</f>
        <v>0.4</v>
      </c>
      <c r="X16" s="32" t="s">
        <v>92</v>
      </c>
      <c r="Y16" s="41" t="s">
        <v>58</v>
      </c>
      <c r="Z16">
        <v>27</v>
      </c>
    </row>
    <row r="17" spans="1:29">
      <c r="A17" s="2">
        <v>13</v>
      </c>
      <c r="B17" s="5">
        <f t="shared" si="0"/>
        <v>254.56263421363698</v>
      </c>
      <c r="J17" s="12" t="s">
        <v>29</v>
      </c>
      <c r="K17" s="14">
        <v>1</v>
      </c>
      <c r="L17" s="14">
        <v>6.4</v>
      </c>
      <c r="M17" s="14">
        <f t="shared" ref="M17:M19" si="1">L17*K17</f>
        <v>6.4</v>
      </c>
      <c r="X17" s="30" t="s">
        <v>91</v>
      </c>
      <c r="Y17" s="27" t="s">
        <v>58</v>
      </c>
      <c r="Z17" s="31">
        <v>23</v>
      </c>
      <c r="AA17" s="27"/>
      <c r="AB17" s="27"/>
      <c r="AC17" s="27"/>
    </row>
    <row r="18" spans="1:29">
      <c r="A18" s="2">
        <v>14</v>
      </c>
      <c r="B18" s="5">
        <f t="shared" si="0"/>
        <v>267.29076592431886</v>
      </c>
      <c r="J18" s="12" t="s">
        <v>30</v>
      </c>
      <c r="K18" s="14">
        <v>4</v>
      </c>
      <c r="L18" s="14">
        <v>1.1000000000000001</v>
      </c>
      <c r="M18" s="14">
        <f t="shared" si="1"/>
        <v>4.4000000000000004</v>
      </c>
      <c r="X18" s="30" t="s">
        <v>90</v>
      </c>
      <c r="Y18" s="27" t="s">
        <v>58</v>
      </c>
      <c r="Z18" s="31">
        <v>4</v>
      </c>
      <c r="AA18" s="27"/>
      <c r="AB18" s="27"/>
      <c r="AC18" s="27"/>
    </row>
    <row r="19" spans="1:29">
      <c r="A19" s="2">
        <v>15</v>
      </c>
      <c r="B19" s="5">
        <f t="shared" si="0"/>
        <v>280.65530422053484</v>
      </c>
      <c r="J19" s="12" t="s">
        <v>31</v>
      </c>
      <c r="K19" s="14">
        <v>5</v>
      </c>
      <c r="L19" s="14">
        <v>0.4</v>
      </c>
      <c r="M19" s="14">
        <f t="shared" si="1"/>
        <v>2</v>
      </c>
      <c r="X19" s="33" t="s">
        <v>62</v>
      </c>
      <c r="Y19" s="27" t="s">
        <v>58</v>
      </c>
      <c r="Z19" s="34">
        <v>1</v>
      </c>
      <c r="AA19" s="27"/>
      <c r="AB19" s="27"/>
      <c r="AC19" s="27"/>
    </row>
    <row r="20" spans="1:29">
      <c r="A20" s="2">
        <v>16</v>
      </c>
      <c r="B20" s="5">
        <f t="shared" si="0"/>
        <v>294.68806943156159</v>
      </c>
      <c r="J20" s="15"/>
      <c r="K20" s="16"/>
      <c r="L20" s="14"/>
      <c r="M20" s="14"/>
      <c r="X20" s="27" t="s">
        <v>63</v>
      </c>
      <c r="Y20" s="27" t="s">
        <v>58</v>
      </c>
      <c r="Z20" s="34">
        <v>2</v>
      </c>
      <c r="AA20" s="27"/>
      <c r="AB20" s="27"/>
      <c r="AC20" s="27"/>
    </row>
    <row r="21" spans="1:29">
      <c r="A21" s="2">
        <v>17</v>
      </c>
      <c r="B21" s="5">
        <f t="shared" si="0"/>
        <v>309.42247290313969</v>
      </c>
      <c r="L21" s="17" t="s">
        <v>32</v>
      </c>
      <c r="M21">
        <f>SUM(M16:M20)</f>
        <v>13.200000000000001</v>
      </c>
      <c r="X21" s="33" t="s">
        <v>93</v>
      </c>
      <c r="Y21" s="46" t="s">
        <v>58</v>
      </c>
      <c r="Z21" s="34">
        <v>2</v>
      </c>
      <c r="AA21" s="27"/>
      <c r="AB21" s="27"/>
      <c r="AC21" s="27"/>
    </row>
    <row r="22" spans="1:29" ht="15.75">
      <c r="A22" s="2">
        <v>18</v>
      </c>
      <c r="B22" s="5">
        <f t="shared" si="0"/>
        <v>324.89359654829667</v>
      </c>
      <c r="X22" s="42" t="s">
        <v>86</v>
      </c>
      <c r="Y22" s="28"/>
      <c r="Z22" s="28"/>
      <c r="AA22" s="27"/>
      <c r="AB22" s="27"/>
      <c r="AC22" s="27"/>
    </row>
    <row r="23" spans="1:29">
      <c r="A23" s="2">
        <v>19</v>
      </c>
      <c r="B23" s="5">
        <f t="shared" si="0"/>
        <v>341.13827637571154</v>
      </c>
      <c r="X23" s="27" t="s">
        <v>56</v>
      </c>
      <c r="Y23" s="27" t="s">
        <v>57</v>
      </c>
      <c r="Z23" s="27" t="s">
        <v>25</v>
      </c>
      <c r="AA23" s="27"/>
      <c r="AB23" s="27"/>
      <c r="AC23" s="27"/>
    </row>
    <row r="24" spans="1:29">
      <c r="A24" s="18">
        <v>20</v>
      </c>
      <c r="B24" s="19">
        <f t="shared" si="0"/>
        <v>358.19519019449712</v>
      </c>
      <c r="X24" s="27"/>
      <c r="Y24" s="27"/>
      <c r="Z24" s="27"/>
      <c r="AA24" s="27"/>
      <c r="AB24" s="27"/>
      <c r="AC24" s="27"/>
    </row>
    <row r="25" spans="1:29">
      <c r="X25" s="27" t="s">
        <v>64</v>
      </c>
      <c r="Y25" s="27" t="s">
        <v>65</v>
      </c>
      <c r="Z25" s="27">
        <v>90</v>
      </c>
      <c r="AA25" s="27"/>
      <c r="AB25" s="27"/>
      <c r="AC25" s="27"/>
    </row>
    <row r="26" spans="1:29">
      <c r="X26" s="27" t="s">
        <v>66</v>
      </c>
      <c r="Y26" s="27" t="s">
        <v>67</v>
      </c>
      <c r="Z26" s="27">
        <v>8</v>
      </c>
      <c r="AA26" s="27"/>
      <c r="AB26" s="27"/>
      <c r="AC26" s="27"/>
    </row>
    <row r="27" spans="1:29">
      <c r="J27" t="s">
        <v>33</v>
      </c>
      <c r="N27" s="7">
        <f>H8/1000</f>
        <v>1.741226619001028E-3</v>
      </c>
      <c r="X27" s="27" t="s">
        <v>68</v>
      </c>
      <c r="Y27" s="27" t="s">
        <v>69</v>
      </c>
      <c r="Z27" s="27">
        <v>380</v>
      </c>
      <c r="AA27" s="27"/>
      <c r="AB27" s="27"/>
      <c r="AC27" s="27"/>
    </row>
    <row r="28" spans="1:29">
      <c r="J28" s="53" t="s">
        <v>34</v>
      </c>
      <c r="K28" s="53"/>
      <c r="L28" s="53"/>
      <c r="N28" s="7">
        <v>140</v>
      </c>
      <c r="X28" s="27" t="s">
        <v>70</v>
      </c>
      <c r="Y28" s="27" t="s">
        <v>71</v>
      </c>
      <c r="Z28" s="27">
        <v>450</v>
      </c>
      <c r="AA28" s="27"/>
      <c r="AB28" s="27"/>
      <c r="AC28" s="27"/>
    </row>
    <row r="29" spans="1:29">
      <c r="J29" t="s">
        <v>35</v>
      </c>
      <c r="N29">
        <v>0.05</v>
      </c>
      <c r="X29" s="27" t="s">
        <v>72</v>
      </c>
      <c r="Y29" s="27" t="s">
        <v>71</v>
      </c>
      <c r="Z29" s="27">
        <v>450</v>
      </c>
      <c r="AA29" s="27"/>
      <c r="AB29" s="27"/>
      <c r="AC29" s="27"/>
    </row>
    <row r="30" spans="1:29">
      <c r="J30" s="54" t="s">
        <v>36</v>
      </c>
      <c r="K30" s="54"/>
      <c r="N30">
        <f>M21</f>
        <v>13.200000000000001</v>
      </c>
      <c r="X30" s="27" t="s">
        <v>73</v>
      </c>
      <c r="Y30" s="27" t="s">
        <v>69</v>
      </c>
      <c r="Z30" s="27">
        <v>10</v>
      </c>
      <c r="AA30" s="27"/>
      <c r="AB30" s="27"/>
      <c r="AC30" s="27"/>
    </row>
    <row r="31" spans="1:29">
      <c r="J31" s="54" t="s">
        <v>37</v>
      </c>
      <c r="K31" s="54"/>
      <c r="N31">
        <f>10.643*((N27/N28)^1.852)*(N30/(N29^4.87))</f>
        <v>0.2506622661834455</v>
      </c>
      <c r="X31" s="27" t="s">
        <v>74</v>
      </c>
      <c r="Y31" s="27" t="s">
        <v>67</v>
      </c>
      <c r="Z31" s="27">
        <v>140</v>
      </c>
      <c r="AA31" s="27"/>
      <c r="AB31" s="27"/>
      <c r="AC31" s="27"/>
    </row>
    <row r="32" spans="1:29" ht="15.75">
      <c r="X32" s="26" t="s">
        <v>75</v>
      </c>
      <c r="Y32" s="36"/>
      <c r="Z32" s="36"/>
      <c r="AA32" s="27"/>
      <c r="AB32" s="27"/>
      <c r="AC32" s="27">
        <f>0.8*0.6</f>
        <v>0.48</v>
      </c>
    </row>
    <row r="33" spans="10:29">
      <c r="X33" s="27"/>
      <c r="Y33" s="27" t="s">
        <v>57</v>
      </c>
      <c r="Z33" s="27" t="s">
        <v>25</v>
      </c>
      <c r="AA33" s="27"/>
      <c r="AB33" s="27"/>
      <c r="AC33" s="27"/>
    </row>
    <row r="34" spans="10:29" ht="15.75">
      <c r="J34" s="52" t="s">
        <v>38</v>
      </c>
      <c r="K34" s="52"/>
      <c r="L34" s="52"/>
      <c r="X34" s="37" t="s">
        <v>76</v>
      </c>
      <c r="Y34" s="27" t="s">
        <v>16</v>
      </c>
      <c r="Z34" s="27">
        <f>Z11</f>
        <v>3912</v>
      </c>
      <c r="AA34" s="27">
        <f>SUM(Z34:Z36)</f>
        <v>5668</v>
      </c>
      <c r="AB34" s="27"/>
      <c r="AC34" s="27"/>
    </row>
    <row r="35" spans="10:29" ht="15" customHeight="1">
      <c r="X35" s="38" t="s">
        <v>89</v>
      </c>
      <c r="Y35" s="41" t="s">
        <v>16</v>
      </c>
      <c r="Z35">
        <f>Z12</f>
        <v>1028</v>
      </c>
      <c r="AA35" s="27"/>
      <c r="AB35" s="27">
        <f>0.75*AA34</f>
        <v>4251</v>
      </c>
      <c r="AC35" s="27"/>
    </row>
    <row r="36" spans="10:29" ht="16.5" customHeight="1">
      <c r="X36" s="38" t="s">
        <v>77</v>
      </c>
      <c r="Y36" s="27" t="s">
        <v>16</v>
      </c>
      <c r="Z36" s="27">
        <f>Z13</f>
        <v>728</v>
      </c>
      <c r="AA36" s="27"/>
      <c r="AB36" s="27">
        <f>0.2*AA34</f>
        <v>1133.6000000000001</v>
      </c>
      <c r="AC36" s="27"/>
    </row>
    <row r="37" spans="10:29">
      <c r="X37" s="35" t="s">
        <v>78</v>
      </c>
      <c r="Y37" s="35" t="s">
        <v>67</v>
      </c>
      <c r="Z37" s="27">
        <f>AB35*AC32</f>
        <v>2040.48</v>
      </c>
      <c r="AA37" s="27"/>
      <c r="AB37" s="27">
        <f>0.05*AA34</f>
        <v>283.40000000000003</v>
      </c>
      <c r="AC37" s="27"/>
    </row>
    <row r="38" spans="10:29">
      <c r="X38" s="27" t="s">
        <v>79</v>
      </c>
      <c r="Y38" s="35" t="s">
        <v>67</v>
      </c>
      <c r="Z38" s="27">
        <f>AB36*AC32</f>
        <v>544.12800000000004</v>
      </c>
      <c r="AA38" s="27"/>
      <c r="AB38" s="27"/>
      <c r="AC38" s="27"/>
    </row>
    <row r="39" spans="10:29">
      <c r="X39" s="27" t="s">
        <v>80</v>
      </c>
      <c r="Y39" s="35" t="s">
        <v>67</v>
      </c>
      <c r="Z39" s="27">
        <f>AB37*AC32</f>
        <v>136.03200000000001</v>
      </c>
      <c r="AA39" s="27"/>
      <c r="AB39" s="27"/>
      <c r="AC39" s="27"/>
    </row>
    <row r="40" spans="10:29" ht="30">
      <c r="X40" s="39" t="s">
        <v>81</v>
      </c>
      <c r="Y40" s="27" t="s">
        <v>58</v>
      </c>
      <c r="Z40" s="27">
        <v>1</v>
      </c>
      <c r="AA40" s="27"/>
      <c r="AB40" s="27"/>
      <c r="AC40" s="27"/>
    </row>
    <row r="41" spans="10:29">
      <c r="X41" s="27" t="s">
        <v>82</v>
      </c>
      <c r="Y41" s="27" t="s">
        <v>83</v>
      </c>
      <c r="Z41" s="27">
        <v>300</v>
      </c>
      <c r="AA41" s="27"/>
      <c r="AB41" s="27"/>
      <c r="AC41" s="27"/>
    </row>
    <row r="42" spans="10:29">
      <c r="K42" t="s">
        <v>39</v>
      </c>
      <c r="L42">
        <f>((10.643*((N27/N28)^1.852))/N8)^(1/4.87)</f>
        <v>4.3993617559159266E-2</v>
      </c>
      <c r="M42" t="s">
        <v>16</v>
      </c>
      <c r="X42" s="27" t="s">
        <v>84</v>
      </c>
      <c r="Y42" s="27" t="s">
        <v>83</v>
      </c>
      <c r="Z42" s="27">
        <v>90</v>
      </c>
    </row>
    <row r="43" spans="10:29">
      <c r="X43" s="27" t="s">
        <v>85</v>
      </c>
      <c r="Y43" s="27" t="s">
        <v>83</v>
      </c>
      <c r="Z43" s="27">
        <v>400</v>
      </c>
    </row>
    <row r="45" spans="10:29">
      <c r="J45" s="47" t="s">
        <v>40</v>
      </c>
      <c r="K45" s="47"/>
      <c r="L45" s="47"/>
      <c r="M45" s="47"/>
      <c r="N45" s="47"/>
    </row>
    <row r="46" spans="10:29">
      <c r="J46" s="47"/>
      <c r="K46" s="47"/>
      <c r="L46" s="47"/>
      <c r="M46" s="47"/>
      <c r="N46" s="47"/>
    </row>
    <row r="47" spans="10:29">
      <c r="J47" s="47"/>
      <c r="K47" s="47"/>
      <c r="L47" s="47"/>
      <c r="M47" s="47"/>
      <c r="N47" s="47"/>
    </row>
    <row r="50" spans="10:14">
      <c r="J50" s="48" t="s">
        <v>41</v>
      </c>
      <c r="K50" s="48"/>
      <c r="L50" s="48"/>
      <c r="M50" s="48"/>
      <c r="N50" s="48"/>
    </row>
    <row r="51" spans="10:14" ht="15.75">
      <c r="J51" s="20"/>
    </row>
    <row r="52" spans="10:14" ht="15.75">
      <c r="J52" s="20"/>
    </row>
    <row r="53" spans="10:14" ht="15.75">
      <c r="J53" s="20"/>
    </row>
    <row r="54" spans="10:14" ht="18">
      <c r="J54" s="21" t="s">
        <v>42</v>
      </c>
    </row>
    <row r="55" spans="10:14" ht="15.75">
      <c r="J55" s="20"/>
    </row>
    <row r="56" spans="10:14">
      <c r="J56" s="22" t="s">
        <v>43</v>
      </c>
    </row>
    <row r="57" spans="10:14">
      <c r="J57" s="22" t="s">
        <v>44</v>
      </c>
    </row>
    <row r="58" spans="10:14">
      <c r="J58" s="49" t="s">
        <v>45</v>
      </c>
      <c r="K58" s="49"/>
      <c r="L58" s="49"/>
      <c r="M58" s="49"/>
      <c r="N58" s="49"/>
    </row>
    <row r="59" spans="10:14">
      <c r="J59" s="50" t="s">
        <v>46</v>
      </c>
      <c r="K59" s="50"/>
      <c r="L59" s="50"/>
      <c r="M59" s="50"/>
      <c r="N59" s="50"/>
    </row>
    <row r="60" spans="10:14">
      <c r="J60" s="23"/>
      <c r="K60" s="23"/>
      <c r="L60" s="23"/>
      <c r="M60" s="23"/>
      <c r="N60" s="23"/>
    </row>
    <row r="61" spans="10:14">
      <c r="K61" s="24" t="s">
        <v>47</v>
      </c>
      <c r="L61" s="24">
        <v>0.5</v>
      </c>
      <c r="M61" s="24"/>
      <c r="N61" s="24"/>
    </row>
    <row r="62" spans="10:14">
      <c r="K62" t="s">
        <v>48</v>
      </c>
      <c r="L62">
        <v>1.2</v>
      </c>
    </row>
    <row r="63" spans="10:14">
      <c r="K63" t="s">
        <v>39</v>
      </c>
      <c r="L63">
        <f>L61^(1/4)*L62*(N27^0.5)</f>
        <v>4.2106718416715143E-2</v>
      </c>
    </row>
  </sheetData>
  <mergeCells count="23">
    <mergeCell ref="J10:L10"/>
    <mergeCell ref="R10:T10"/>
    <mergeCell ref="A1:C1"/>
    <mergeCell ref="E1:H1"/>
    <mergeCell ref="J1:O1"/>
    <mergeCell ref="R1:U1"/>
    <mergeCell ref="A2:B2"/>
    <mergeCell ref="J3:N3"/>
    <mergeCell ref="R7:T7"/>
    <mergeCell ref="J8:L8"/>
    <mergeCell ref="R8:U8"/>
    <mergeCell ref="J9:M9"/>
    <mergeCell ref="R9:S9"/>
    <mergeCell ref="J45:N47"/>
    <mergeCell ref="J50:N50"/>
    <mergeCell ref="J58:N58"/>
    <mergeCell ref="J59:N59"/>
    <mergeCell ref="R11:T11"/>
    <mergeCell ref="J13:P13"/>
    <mergeCell ref="J28:L28"/>
    <mergeCell ref="J30:K30"/>
    <mergeCell ref="J31:K31"/>
    <mergeCell ref="J34:L34"/>
  </mergeCells>
  <pageMargins left="0.511811024" right="0.511811024" top="0.78740157499999996" bottom="0.78740157499999996" header="0.31496062000000002" footer="0.31496062000000002"/>
  <drawing r:id="rId1"/>
  <legacyDrawing r:id="rId2"/>
  <oleObjects>
    <oleObject progId="Equation.3" shapeId="1025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AF63"/>
  <sheetViews>
    <sheetView topLeftCell="N9" workbookViewId="0">
      <selection activeCell="X16" sqref="X16"/>
    </sheetView>
  </sheetViews>
  <sheetFormatPr defaultRowHeight="15"/>
  <cols>
    <col min="1" max="1" width="9.140625" style="25" customWidth="1"/>
    <col min="2" max="9" width="9.140625" style="25"/>
    <col min="10" max="10" width="18.85546875" style="25" bestFit="1" customWidth="1"/>
    <col min="11" max="11" width="11.5703125" style="25" customWidth="1"/>
    <col min="12" max="12" width="9.140625" style="25"/>
    <col min="13" max="13" width="9.140625" style="25" customWidth="1"/>
    <col min="14" max="14" width="9.5703125" style="25" bestFit="1" customWidth="1"/>
    <col min="15" max="23" width="9.140625" style="25"/>
    <col min="24" max="24" width="63.42578125" style="25" bestFit="1" customWidth="1"/>
    <col min="25" max="25" width="9.140625" style="25"/>
    <col min="26" max="26" width="11.42578125" style="25" customWidth="1"/>
    <col min="27" max="27" width="8.85546875" style="25" hidden="1" customWidth="1"/>
    <col min="28" max="29" width="8.7109375" style="25" hidden="1" customWidth="1"/>
    <col min="30" max="30" width="8.85546875" style="25" customWidth="1"/>
    <col min="31" max="31" width="9" style="25" customWidth="1"/>
    <col min="32" max="16384" width="9.140625" style="25"/>
  </cols>
  <sheetData>
    <row r="1" spans="1:32" ht="15.75">
      <c r="A1" s="55" t="s">
        <v>0</v>
      </c>
      <c r="B1" s="56"/>
      <c r="C1" s="56"/>
      <c r="D1" s="1"/>
      <c r="E1" s="52" t="s">
        <v>1</v>
      </c>
      <c r="F1" s="52"/>
      <c r="G1" s="52"/>
      <c r="H1" s="57"/>
      <c r="J1" s="52" t="s">
        <v>2</v>
      </c>
      <c r="K1" s="52"/>
      <c r="L1" s="52"/>
      <c r="M1" s="52"/>
      <c r="N1" s="52"/>
      <c r="O1" s="52"/>
      <c r="R1" s="58" t="s">
        <v>3</v>
      </c>
      <c r="S1" s="58"/>
      <c r="T1" s="58"/>
      <c r="U1" s="58"/>
      <c r="X1" s="40" t="s">
        <v>54</v>
      </c>
      <c r="Y1" s="40"/>
      <c r="Z1" s="40"/>
      <c r="AA1" s="41"/>
      <c r="AB1" s="41"/>
      <c r="AC1" s="41"/>
      <c r="AD1" s="41"/>
      <c r="AE1" s="41"/>
      <c r="AF1" s="41"/>
    </row>
    <row r="2" spans="1:32">
      <c r="A2" s="59" t="s">
        <v>49</v>
      </c>
      <c r="B2" s="60"/>
      <c r="X2" s="41"/>
      <c r="Y2" s="41"/>
      <c r="Z2" s="41"/>
      <c r="AA2" s="41"/>
      <c r="AB2" s="41"/>
      <c r="AC2" s="41"/>
      <c r="AD2" s="41"/>
      <c r="AE2" s="41"/>
      <c r="AF2" s="41"/>
    </row>
    <row r="3" spans="1:32" ht="15.75">
      <c r="A3" s="2" t="s">
        <v>4</v>
      </c>
      <c r="B3" s="3" t="s">
        <v>5</v>
      </c>
      <c r="J3" s="52" t="s">
        <v>6</v>
      </c>
      <c r="K3" s="52"/>
      <c r="L3" s="52"/>
      <c r="M3" s="52"/>
      <c r="N3" s="52"/>
      <c r="X3" s="42" t="s">
        <v>55</v>
      </c>
      <c r="Y3" s="41"/>
      <c r="Z3" s="41"/>
      <c r="AA3" s="41"/>
      <c r="AB3" s="41"/>
      <c r="AC3" s="41"/>
      <c r="AD3" s="41"/>
      <c r="AE3" s="41"/>
      <c r="AF3" s="41"/>
    </row>
    <row r="4" spans="1:32">
      <c r="A4" s="2">
        <v>0</v>
      </c>
      <c r="B4" s="4">
        <v>130</v>
      </c>
      <c r="X4" s="41"/>
      <c r="Y4" s="41"/>
      <c r="Z4" s="41"/>
      <c r="AA4" s="41"/>
      <c r="AB4" s="41"/>
      <c r="AC4" s="41"/>
      <c r="AD4" s="41"/>
      <c r="AE4" s="41"/>
      <c r="AF4" s="41"/>
    </row>
    <row r="5" spans="1:32">
      <c r="A5" s="2">
        <v>1</v>
      </c>
      <c r="B5" s="5">
        <f>B4*1.05</f>
        <v>136.5</v>
      </c>
      <c r="X5" s="41" t="s">
        <v>56</v>
      </c>
      <c r="Y5" s="41" t="s">
        <v>57</v>
      </c>
      <c r="Z5" s="41" t="s">
        <v>25</v>
      </c>
      <c r="AA5" s="41"/>
      <c r="AB5" s="41"/>
      <c r="AC5" s="41"/>
      <c r="AD5" s="41"/>
      <c r="AE5" s="41"/>
      <c r="AF5" s="41"/>
    </row>
    <row r="6" spans="1:32">
      <c r="A6" s="2">
        <v>2</v>
      </c>
      <c r="B6" s="5">
        <f t="shared" ref="B6:B24" si="0">B5*1.05</f>
        <v>143.32500000000002</v>
      </c>
      <c r="E6" s="25" t="s">
        <v>7</v>
      </c>
      <c r="F6" s="25" t="s">
        <v>8</v>
      </c>
      <c r="G6" s="25" t="s">
        <v>9</v>
      </c>
      <c r="H6" s="25" t="s">
        <v>10</v>
      </c>
      <c r="X6" s="41"/>
      <c r="Y6" s="41"/>
      <c r="Z6" s="41"/>
      <c r="AA6" s="41"/>
      <c r="AB6" s="41"/>
      <c r="AC6" s="41"/>
      <c r="AD6" s="41"/>
      <c r="AE6" s="41"/>
      <c r="AF6" s="41"/>
    </row>
    <row r="7" spans="1:32">
      <c r="A7" s="2">
        <v>3</v>
      </c>
      <c r="B7" s="5">
        <f t="shared" si="0"/>
        <v>150.49125000000004</v>
      </c>
      <c r="E7" s="25">
        <v>1.2</v>
      </c>
      <c r="F7" s="25">
        <v>200</v>
      </c>
      <c r="G7" s="6">
        <f>B24</f>
        <v>344.92870166877503</v>
      </c>
      <c r="H7" s="7">
        <f>(E7*F7*G7)/86400</f>
        <v>0.95813528241326396</v>
      </c>
      <c r="R7" s="54" t="s">
        <v>11</v>
      </c>
      <c r="S7" s="54"/>
      <c r="T7" s="54"/>
      <c r="X7" s="41" t="s">
        <v>28</v>
      </c>
      <c r="Y7" s="41" t="s">
        <v>58</v>
      </c>
      <c r="Z7" s="41">
        <v>3</v>
      </c>
      <c r="AA7" s="41"/>
      <c r="AB7" s="41"/>
      <c r="AC7" s="41"/>
      <c r="AD7" s="41"/>
      <c r="AE7" s="41"/>
      <c r="AF7" s="41"/>
    </row>
    <row r="8" spans="1:32">
      <c r="A8" s="2">
        <v>4</v>
      </c>
      <c r="B8" s="5">
        <f t="shared" si="0"/>
        <v>158.01581250000004</v>
      </c>
      <c r="H8" s="25">
        <f>H7*1.75</f>
        <v>1.676736744223212</v>
      </c>
      <c r="J8" s="54" t="s">
        <v>12</v>
      </c>
      <c r="K8" s="54"/>
      <c r="L8" s="54"/>
      <c r="N8" s="8">
        <f>N9/N10</f>
        <v>0.10491071428571429</v>
      </c>
      <c r="O8" s="25" t="s">
        <v>13</v>
      </c>
      <c r="R8" s="54" t="s">
        <v>14</v>
      </c>
      <c r="S8" s="54"/>
      <c r="T8" s="54"/>
      <c r="U8" s="54"/>
      <c r="V8" s="25">
        <f xml:space="preserve"> 1000</f>
        <v>1000</v>
      </c>
      <c r="X8" s="41" t="s">
        <v>29</v>
      </c>
      <c r="Y8" s="41" t="s">
        <v>58</v>
      </c>
      <c r="Z8" s="41">
        <v>1</v>
      </c>
      <c r="AA8" s="41"/>
      <c r="AB8" s="41"/>
      <c r="AC8" s="41"/>
      <c r="AD8" s="41"/>
      <c r="AE8" s="41"/>
      <c r="AF8" s="41"/>
    </row>
    <row r="9" spans="1:32">
      <c r="A9" s="2">
        <v>5</v>
      </c>
      <c r="B9" s="5">
        <f t="shared" si="0"/>
        <v>165.91660312500005</v>
      </c>
      <c r="J9" s="54" t="s">
        <v>15</v>
      </c>
      <c r="K9" s="54"/>
      <c r="L9" s="54"/>
      <c r="M9" s="54"/>
      <c r="N9" s="9">
        <v>47</v>
      </c>
      <c r="O9" s="25" t="s">
        <v>16</v>
      </c>
      <c r="R9" s="54" t="s">
        <v>17</v>
      </c>
      <c r="S9" s="54"/>
      <c r="X9" s="41" t="s">
        <v>30</v>
      </c>
      <c r="Y9" s="41" t="s">
        <v>58</v>
      </c>
      <c r="Z9" s="41">
        <v>5</v>
      </c>
      <c r="AA9" s="41"/>
      <c r="AB9" s="41"/>
      <c r="AC9" s="41"/>
      <c r="AD9" s="41"/>
      <c r="AE9" s="41"/>
      <c r="AF9" s="41"/>
    </row>
    <row r="10" spans="1:32">
      <c r="A10" s="2">
        <v>6</v>
      </c>
      <c r="B10" s="5">
        <f t="shared" si="0"/>
        <v>174.21243328125007</v>
      </c>
      <c r="J10" s="54" t="s">
        <v>18</v>
      </c>
      <c r="K10" s="54"/>
      <c r="L10" s="54"/>
      <c r="N10" s="9">
        <v>448</v>
      </c>
      <c r="O10" s="25" t="s">
        <v>16</v>
      </c>
      <c r="R10" s="54" t="s">
        <v>19</v>
      </c>
      <c r="S10" s="54"/>
      <c r="T10" s="54"/>
      <c r="X10" s="41" t="s">
        <v>31</v>
      </c>
      <c r="Y10" s="41" t="s">
        <v>58</v>
      </c>
      <c r="Z10" s="41">
        <v>20</v>
      </c>
      <c r="AA10" s="41"/>
      <c r="AB10" s="41"/>
      <c r="AC10" s="41"/>
      <c r="AD10" s="41"/>
      <c r="AE10" s="41"/>
      <c r="AF10" s="41"/>
    </row>
    <row r="11" spans="1:32">
      <c r="A11" s="2">
        <v>7</v>
      </c>
      <c r="B11" s="5">
        <f t="shared" si="0"/>
        <v>182.92305494531257</v>
      </c>
      <c r="D11" s="25">
        <f>26*5</f>
        <v>130</v>
      </c>
      <c r="R11" s="51" t="s">
        <v>20</v>
      </c>
      <c r="S11" s="51"/>
      <c r="T11" s="51"/>
      <c r="V11" s="10">
        <v>0.7</v>
      </c>
      <c r="X11" s="46" t="s">
        <v>99</v>
      </c>
      <c r="Y11" s="41" t="s">
        <v>16</v>
      </c>
      <c r="Z11" s="41">
        <v>5040</v>
      </c>
      <c r="AA11" s="41"/>
      <c r="AB11" s="41"/>
      <c r="AC11" s="41"/>
      <c r="AD11" s="41"/>
      <c r="AE11" s="41"/>
      <c r="AF11" s="41"/>
    </row>
    <row r="12" spans="1:32">
      <c r="A12" s="2">
        <v>8</v>
      </c>
      <c r="B12" s="5">
        <f t="shared" si="0"/>
        <v>192.0692076925782</v>
      </c>
      <c r="R12" s="25" t="s">
        <v>21</v>
      </c>
      <c r="S12" s="25">
        <f>V8*N27*(N9+M21)/(75*0.7)</f>
        <v>1.9226581333759498</v>
      </c>
      <c r="T12" s="25" t="s">
        <v>22</v>
      </c>
      <c r="X12" s="29" t="s">
        <v>100</v>
      </c>
      <c r="Y12" s="41" t="s">
        <v>16</v>
      </c>
      <c r="Z12" s="41">
        <v>514</v>
      </c>
      <c r="AA12" s="41"/>
      <c r="AB12" s="41"/>
      <c r="AC12" s="41"/>
      <c r="AD12" s="41"/>
      <c r="AE12" s="41"/>
      <c r="AF12" s="41"/>
    </row>
    <row r="13" spans="1:32" ht="15.75">
      <c r="A13" s="2">
        <v>9</v>
      </c>
      <c r="B13" s="5">
        <f t="shared" si="0"/>
        <v>201.67266807720713</v>
      </c>
      <c r="J13" s="52" t="s">
        <v>23</v>
      </c>
      <c r="K13" s="52"/>
      <c r="L13" s="52"/>
      <c r="M13" s="52"/>
      <c r="N13" s="52"/>
      <c r="O13" s="52"/>
      <c r="P13" s="52"/>
      <c r="Q13" s="11"/>
      <c r="X13" s="29" t="s">
        <v>101</v>
      </c>
      <c r="Y13" s="41" t="s">
        <v>16</v>
      </c>
      <c r="Z13" s="41">
        <v>560</v>
      </c>
      <c r="AA13" s="41"/>
      <c r="AB13" s="41"/>
      <c r="AC13" s="41"/>
      <c r="AD13" s="41"/>
      <c r="AE13" s="41"/>
      <c r="AF13" s="41"/>
    </row>
    <row r="14" spans="1:32">
      <c r="A14" s="2">
        <v>10</v>
      </c>
      <c r="B14" s="5">
        <f t="shared" si="0"/>
        <v>211.75630148106751</v>
      </c>
      <c r="X14" s="30" t="s">
        <v>97</v>
      </c>
      <c r="Y14" s="41" t="s">
        <v>58</v>
      </c>
      <c r="Z14" s="31">
        <v>1</v>
      </c>
      <c r="AA14" s="41"/>
      <c r="AB14" s="41"/>
      <c r="AC14" s="41"/>
      <c r="AD14" s="41"/>
      <c r="AE14" s="41"/>
      <c r="AF14" s="41"/>
    </row>
    <row r="15" spans="1:32" ht="15" customHeight="1">
      <c r="A15" s="2">
        <v>11</v>
      </c>
      <c r="B15" s="5">
        <f t="shared" si="0"/>
        <v>222.34411655512091</v>
      </c>
      <c r="J15" s="12" t="s">
        <v>24</v>
      </c>
      <c r="K15" s="12" t="s">
        <v>25</v>
      </c>
      <c r="L15" s="12" t="s">
        <v>26</v>
      </c>
      <c r="M15" s="13" t="s">
        <v>27</v>
      </c>
      <c r="X15" s="32" t="s">
        <v>94</v>
      </c>
      <c r="Y15" s="41" t="s">
        <v>58</v>
      </c>
      <c r="Z15" s="31">
        <v>27</v>
      </c>
      <c r="AA15" s="41"/>
      <c r="AB15" s="41"/>
      <c r="AC15" s="41"/>
      <c r="AD15" s="41"/>
      <c r="AE15" s="41"/>
      <c r="AF15" s="41"/>
    </row>
    <row r="16" spans="1:32" ht="15" customHeight="1">
      <c r="A16" s="2">
        <v>12</v>
      </c>
      <c r="B16" s="5">
        <f t="shared" si="0"/>
        <v>233.46132238287697</v>
      </c>
      <c r="J16" s="12" t="s">
        <v>28</v>
      </c>
      <c r="K16" s="14">
        <v>1</v>
      </c>
      <c r="L16" s="14">
        <v>0.4</v>
      </c>
      <c r="M16" s="14">
        <f>L16*K16</f>
        <v>0.4</v>
      </c>
      <c r="X16" s="32" t="s">
        <v>92</v>
      </c>
      <c r="Y16" s="41" t="s">
        <v>58</v>
      </c>
      <c r="Z16" s="41">
        <v>26</v>
      </c>
      <c r="AA16" s="41"/>
      <c r="AB16" s="41"/>
      <c r="AC16" s="41"/>
      <c r="AD16" s="41"/>
      <c r="AE16" s="41"/>
      <c r="AF16" s="41"/>
    </row>
    <row r="17" spans="1:32">
      <c r="A17" s="2">
        <v>13</v>
      </c>
      <c r="B17" s="5">
        <f t="shared" si="0"/>
        <v>245.13438850202084</v>
      </c>
      <c r="J17" s="12" t="s">
        <v>29</v>
      </c>
      <c r="K17" s="14">
        <v>1</v>
      </c>
      <c r="L17" s="14">
        <v>6.4</v>
      </c>
      <c r="M17" s="14">
        <f t="shared" ref="M17:M19" si="1">L17*K17</f>
        <v>6.4</v>
      </c>
      <c r="X17" s="32" t="s">
        <v>95</v>
      </c>
      <c r="Y17" s="41" t="s">
        <v>58</v>
      </c>
      <c r="Z17" s="31">
        <v>21</v>
      </c>
      <c r="AA17" s="41"/>
      <c r="AB17" s="41"/>
      <c r="AC17" s="41"/>
      <c r="AD17" s="41"/>
      <c r="AE17" s="41"/>
      <c r="AF17" s="41"/>
    </row>
    <row r="18" spans="1:32">
      <c r="A18" s="2">
        <v>14</v>
      </c>
      <c r="B18" s="5">
        <f t="shared" si="0"/>
        <v>257.39110792712188</v>
      </c>
      <c r="J18" s="12" t="s">
        <v>30</v>
      </c>
      <c r="K18" s="14">
        <v>4</v>
      </c>
      <c r="L18" s="14">
        <v>1.1000000000000001</v>
      </c>
      <c r="M18" s="14">
        <f t="shared" si="1"/>
        <v>4.4000000000000004</v>
      </c>
      <c r="X18" s="30" t="s">
        <v>96</v>
      </c>
      <c r="Y18" s="41" t="s">
        <v>58</v>
      </c>
      <c r="Z18" s="31">
        <v>5</v>
      </c>
      <c r="AA18" s="41"/>
      <c r="AB18" s="41"/>
      <c r="AC18" s="41"/>
      <c r="AD18" s="41"/>
      <c r="AE18" s="41"/>
      <c r="AF18" s="41"/>
    </row>
    <row r="19" spans="1:32">
      <c r="A19" s="2">
        <v>15</v>
      </c>
      <c r="B19" s="5">
        <f t="shared" si="0"/>
        <v>270.26066332347801</v>
      </c>
      <c r="J19" s="12" t="s">
        <v>31</v>
      </c>
      <c r="K19" s="14">
        <v>5</v>
      </c>
      <c r="L19" s="14">
        <v>0.4</v>
      </c>
      <c r="M19" s="14">
        <f t="shared" si="1"/>
        <v>2</v>
      </c>
      <c r="X19" s="33" t="s">
        <v>62</v>
      </c>
      <c r="Y19" s="41" t="s">
        <v>58</v>
      </c>
      <c r="Z19" s="34">
        <v>1</v>
      </c>
      <c r="AA19" s="41"/>
      <c r="AB19" s="41"/>
      <c r="AC19" s="41"/>
      <c r="AD19" s="41"/>
      <c r="AE19" s="41"/>
      <c r="AF19" s="41"/>
    </row>
    <row r="20" spans="1:32" ht="15" customHeight="1">
      <c r="A20" s="2">
        <v>16</v>
      </c>
      <c r="B20" s="5">
        <f t="shared" si="0"/>
        <v>283.77369648965191</v>
      </c>
      <c r="J20" s="15"/>
      <c r="K20" s="16"/>
      <c r="L20" s="14"/>
      <c r="M20" s="14"/>
      <c r="X20" s="41" t="s">
        <v>63</v>
      </c>
      <c r="Y20" s="41" t="s">
        <v>58</v>
      </c>
      <c r="Z20" s="34">
        <v>2</v>
      </c>
      <c r="AA20" s="41"/>
      <c r="AB20" s="41"/>
      <c r="AC20" s="41"/>
      <c r="AD20" s="41"/>
      <c r="AE20" s="41"/>
      <c r="AF20" s="41"/>
    </row>
    <row r="21" spans="1:32">
      <c r="A21" s="2">
        <v>17</v>
      </c>
      <c r="B21" s="5">
        <f t="shared" si="0"/>
        <v>297.96238131413452</v>
      </c>
      <c r="L21" s="17" t="s">
        <v>32</v>
      </c>
      <c r="M21" s="25">
        <f>SUM(M16:M20)</f>
        <v>13.200000000000001</v>
      </c>
      <c r="X21" s="46" t="s">
        <v>98</v>
      </c>
      <c r="Y21" s="46" t="s">
        <v>58</v>
      </c>
      <c r="Z21" s="34">
        <v>3</v>
      </c>
      <c r="AA21" s="41"/>
      <c r="AB21" s="41"/>
      <c r="AC21" s="41"/>
      <c r="AD21" s="41"/>
      <c r="AE21" s="41"/>
      <c r="AF21" s="41"/>
    </row>
    <row r="22" spans="1:32" ht="15.75">
      <c r="A22" s="2">
        <v>18</v>
      </c>
      <c r="B22" s="5">
        <f t="shared" si="0"/>
        <v>312.86050037984126</v>
      </c>
      <c r="X22" s="42" t="s">
        <v>86</v>
      </c>
      <c r="Y22" s="42"/>
      <c r="Z22" s="42"/>
      <c r="AA22" s="41"/>
      <c r="AB22" s="41"/>
      <c r="AC22" s="41"/>
      <c r="AD22" s="41"/>
      <c r="AE22" s="41"/>
      <c r="AF22" s="41"/>
    </row>
    <row r="23" spans="1:32">
      <c r="A23" s="2">
        <v>19</v>
      </c>
      <c r="B23" s="5">
        <f t="shared" si="0"/>
        <v>328.50352539883335</v>
      </c>
      <c r="X23" s="41" t="s">
        <v>56</v>
      </c>
      <c r="Y23" s="41" t="s">
        <v>57</v>
      </c>
      <c r="Z23" s="41" t="s">
        <v>25</v>
      </c>
      <c r="AA23" s="41"/>
      <c r="AB23" s="41"/>
      <c r="AC23" s="41"/>
      <c r="AD23" s="41"/>
      <c r="AE23" s="41"/>
      <c r="AF23" s="41"/>
    </row>
    <row r="24" spans="1:32">
      <c r="A24" s="18">
        <v>20</v>
      </c>
      <c r="B24" s="19">
        <f t="shared" si="0"/>
        <v>344.92870166877503</v>
      </c>
      <c r="X24" s="41"/>
      <c r="Y24" s="41"/>
      <c r="Z24" s="41"/>
      <c r="AA24" s="41"/>
      <c r="AB24" s="41"/>
      <c r="AC24" s="41"/>
      <c r="AD24" s="41"/>
      <c r="AE24" s="41"/>
      <c r="AF24" s="41"/>
    </row>
    <row r="25" spans="1:32">
      <c r="X25" s="41" t="s">
        <v>64</v>
      </c>
      <c r="Y25" s="41" t="s">
        <v>65</v>
      </c>
      <c r="Z25" s="41">
        <v>90</v>
      </c>
      <c r="AA25" s="41"/>
      <c r="AB25" s="41"/>
      <c r="AC25" s="41"/>
      <c r="AD25" s="41"/>
      <c r="AE25" s="41"/>
      <c r="AF25" s="41"/>
    </row>
    <row r="26" spans="1:32">
      <c r="X26" s="41" t="s">
        <v>66</v>
      </c>
      <c r="Y26" s="41" t="s">
        <v>67</v>
      </c>
      <c r="Z26" s="41">
        <v>8</v>
      </c>
      <c r="AA26" s="41"/>
      <c r="AB26" s="41"/>
      <c r="AC26" s="41"/>
      <c r="AD26" s="41"/>
      <c r="AE26" s="41"/>
      <c r="AF26" s="41"/>
    </row>
    <row r="27" spans="1:32">
      <c r="J27" s="25" t="s">
        <v>33</v>
      </c>
      <c r="N27" s="7">
        <f>H8/1000</f>
        <v>1.676736744223212E-3</v>
      </c>
      <c r="X27" s="41" t="s">
        <v>68</v>
      </c>
      <c r="Y27" s="41" t="s">
        <v>69</v>
      </c>
      <c r="Z27" s="41">
        <v>380</v>
      </c>
      <c r="AA27" s="41"/>
      <c r="AB27" s="41"/>
      <c r="AC27" s="41"/>
      <c r="AD27" s="41"/>
      <c r="AE27" s="41"/>
      <c r="AF27" s="41"/>
    </row>
    <row r="28" spans="1:32">
      <c r="J28" s="53" t="s">
        <v>34</v>
      </c>
      <c r="K28" s="53"/>
      <c r="L28" s="53"/>
      <c r="N28" s="7">
        <v>140</v>
      </c>
      <c r="X28" s="41" t="s">
        <v>70</v>
      </c>
      <c r="Y28" s="41" t="s">
        <v>71</v>
      </c>
      <c r="Z28" s="41">
        <v>450</v>
      </c>
      <c r="AA28" s="41"/>
      <c r="AB28" s="41"/>
      <c r="AC28" s="41"/>
      <c r="AD28" s="41"/>
      <c r="AE28" s="41"/>
      <c r="AF28" s="41"/>
    </row>
    <row r="29" spans="1:32">
      <c r="J29" s="25" t="s">
        <v>35</v>
      </c>
      <c r="N29" s="25">
        <v>0.05</v>
      </c>
      <c r="X29" s="41" t="s">
        <v>72</v>
      </c>
      <c r="Y29" s="41" t="s">
        <v>71</v>
      </c>
      <c r="Z29" s="41">
        <v>450</v>
      </c>
      <c r="AA29" s="41"/>
      <c r="AB29" s="41"/>
      <c r="AC29" s="41"/>
      <c r="AD29" s="41"/>
      <c r="AE29" s="41"/>
      <c r="AF29" s="41"/>
    </row>
    <row r="30" spans="1:32">
      <c r="J30" s="54" t="s">
        <v>36</v>
      </c>
      <c r="K30" s="54"/>
      <c r="N30" s="25">
        <f>M21</f>
        <v>13.200000000000001</v>
      </c>
      <c r="X30" s="41" t="s">
        <v>73</v>
      </c>
      <c r="Y30" s="41" t="s">
        <v>69</v>
      </c>
      <c r="Z30" s="41">
        <v>10</v>
      </c>
      <c r="AA30" s="41"/>
      <c r="AB30" s="41"/>
      <c r="AC30" s="41"/>
      <c r="AD30" s="41"/>
      <c r="AE30" s="41"/>
      <c r="AF30" s="41"/>
    </row>
    <row r="31" spans="1:32">
      <c r="J31" s="54" t="s">
        <v>37</v>
      </c>
      <c r="K31" s="54"/>
      <c r="N31" s="25">
        <f>10.643*((N27/N28)^1.852)*(N30/(N29^4.87))</f>
        <v>0.23374046890141337</v>
      </c>
      <c r="X31" s="41" t="s">
        <v>74</v>
      </c>
      <c r="Y31" s="41" t="s">
        <v>67</v>
      </c>
      <c r="Z31" s="41">
        <v>140</v>
      </c>
      <c r="AA31" s="41"/>
      <c r="AB31" s="41"/>
      <c r="AC31" s="41"/>
      <c r="AD31" s="41"/>
      <c r="AE31" s="41"/>
      <c r="AF31" s="41"/>
    </row>
    <row r="32" spans="1:32" ht="15.75">
      <c r="X32" s="40" t="s">
        <v>75</v>
      </c>
      <c r="Y32" s="36"/>
      <c r="Z32" s="36"/>
      <c r="AA32" s="41"/>
      <c r="AB32" s="41"/>
      <c r="AC32" s="41">
        <f>0.8*0.6</f>
        <v>0.48</v>
      </c>
      <c r="AD32" s="41"/>
      <c r="AE32" s="41"/>
      <c r="AF32" s="41"/>
    </row>
    <row r="33" spans="10:32">
      <c r="X33" s="41"/>
      <c r="Y33" s="41" t="s">
        <v>57</v>
      </c>
      <c r="Z33" s="41" t="s">
        <v>25</v>
      </c>
      <c r="AA33" s="41"/>
      <c r="AB33" s="41"/>
      <c r="AC33" s="41"/>
      <c r="AD33" s="41"/>
      <c r="AE33" s="41"/>
      <c r="AF33" s="41"/>
    </row>
    <row r="34" spans="10:32" ht="15.75">
      <c r="J34" s="52" t="s">
        <v>38</v>
      </c>
      <c r="K34" s="52"/>
      <c r="L34" s="52"/>
      <c r="X34" s="37" t="s">
        <v>76</v>
      </c>
      <c r="Y34" s="41" t="s">
        <v>16</v>
      </c>
      <c r="Z34" s="41">
        <f>Z11</f>
        <v>5040</v>
      </c>
      <c r="AA34" s="41">
        <f>SUM(Z34:Z36)</f>
        <v>6114</v>
      </c>
      <c r="AB34" s="41"/>
      <c r="AC34" s="41"/>
      <c r="AD34" s="41"/>
      <c r="AE34" s="41"/>
      <c r="AF34" s="41"/>
    </row>
    <row r="35" spans="10:32">
      <c r="X35" s="38" t="s">
        <v>89</v>
      </c>
      <c r="Y35" s="41" t="s">
        <v>16</v>
      </c>
      <c r="Z35" s="41">
        <f>Z12</f>
        <v>514</v>
      </c>
      <c r="AA35" s="41"/>
      <c r="AB35" s="41">
        <f>0.75*AA34</f>
        <v>4585.5</v>
      </c>
      <c r="AC35" s="41"/>
      <c r="AD35" s="41"/>
      <c r="AE35" s="41"/>
      <c r="AF35" s="41"/>
    </row>
    <row r="36" spans="10:32" ht="15" customHeight="1">
      <c r="X36" s="38" t="s">
        <v>77</v>
      </c>
      <c r="Y36" s="41" t="s">
        <v>16</v>
      </c>
      <c r="Z36" s="41">
        <f>Z13</f>
        <v>560</v>
      </c>
      <c r="AA36" s="41"/>
      <c r="AB36" s="41">
        <f>0.2*AA34</f>
        <v>1222.8</v>
      </c>
      <c r="AC36" s="41"/>
      <c r="AD36" s="41"/>
      <c r="AE36" s="41"/>
      <c r="AF36" s="41"/>
    </row>
    <row r="37" spans="10:32" ht="30">
      <c r="X37" s="35" t="s">
        <v>78</v>
      </c>
      <c r="Y37" s="35" t="s">
        <v>67</v>
      </c>
      <c r="Z37" s="41">
        <f>AB35*AC32</f>
        <v>2201.04</v>
      </c>
      <c r="AA37" s="41"/>
      <c r="AB37" s="41">
        <f>0.05*AA34</f>
        <v>305.7</v>
      </c>
      <c r="AC37" s="41"/>
      <c r="AD37" s="41"/>
      <c r="AE37" s="41"/>
      <c r="AF37" s="41"/>
    </row>
    <row r="38" spans="10:32">
      <c r="X38" s="41" t="s">
        <v>79</v>
      </c>
      <c r="Y38" s="35" t="s">
        <v>67</v>
      </c>
      <c r="Z38" s="41">
        <f>AB36*AC32</f>
        <v>586.94399999999996</v>
      </c>
      <c r="AA38" s="41"/>
      <c r="AB38" s="41"/>
      <c r="AC38" s="41"/>
      <c r="AD38" s="41"/>
      <c r="AE38" s="41"/>
      <c r="AF38" s="41"/>
    </row>
    <row r="39" spans="10:32" ht="15" customHeight="1">
      <c r="X39" s="41" t="s">
        <v>80</v>
      </c>
      <c r="Y39" s="35" t="s">
        <v>67</v>
      </c>
      <c r="Z39" s="41">
        <f>AB37*AC32</f>
        <v>146.73599999999999</v>
      </c>
      <c r="AA39" s="41"/>
      <c r="AB39" s="41"/>
      <c r="AC39" s="41"/>
      <c r="AD39" s="41"/>
      <c r="AE39" s="41"/>
      <c r="AF39" s="41"/>
    </row>
    <row r="40" spans="10:32" ht="45">
      <c r="X40" s="39" t="s">
        <v>81</v>
      </c>
      <c r="Y40" s="41" t="s">
        <v>58</v>
      </c>
      <c r="Z40" s="41">
        <v>1</v>
      </c>
      <c r="AA40" s="41"/>
      <c r="AB40" s="41"/>
      <c r="AC40" s="41"/>
      <c r="AD40" s="41"/>
      <c r="AE40" s="41"/>
      <c r="AF40" s="41"/>
    </row>
    <row r="41" spans="10:32">
      <c r="X41" s="41" t="s">
        <v>82</v>
      </c>
      <c r="Y41" s="41" t="s">
        <v>83</v>
      </c>
      <c r="Z41" s="41">
        <v>300</v>
      </c>
      <c r="AA41" s="41"/>
      <c r="AB41" s="41"/>
      <c r="AC41" s="41"/>
      <c r="AD41" s="41"/>
      <c r="AE41" s="41"/>
      <c r="AF41" s="41"/>
    </row>
    <row r="42" spans="10:32">
      <c r="K42" s="25" t="s">
        <v>39</v>
      </c>
      <c r="L42" s="25">
        <f>((10.643*((N27/N28)^1.852))/N8)^(1/4.87)</f>
        <v>3.4698679541844593E-2</v>
      </c>
      <c r="M42" s="25" t="s">
        <v>16</v>
      </c>
      <c r="X42" s="41" t="s">
        <v>84</v>
      </c>
      <c r="Y42" s="41" t="s">
        <v>83</v>
      </c>
      <c r="Z42" s="41">
        <v>90</v>
      </c>
      <c r="AA42" s="41"/>
      <c r="AB42" s="41"/>
      <c r="AC42" s="41"/>
      <c r="AD42" s="41"/>
      <c r="AE42" s="41"/>
      <c r="AF42" s="41"/>
    </row>
    <row r="43" spans="10:32">
      <c r="X43" s="41" t="s">
        <v>85</v>
      </c>
      <c r="Y43" s="41" t="s">
        <v>83</v>
      </c>
      <c r="Z43" s="41">
        <v>400</v>
      </c>
    </row>
    <row r="45" spans="10:32">
      <c r="J45" s="47" t="s">
        <v>40</v>
      </c>
      <c r="K45" s="47"/>
      <c r="L45" s="47"/>
      <c r="M45" s="47"/>
      <c r="N45" s="47"/>
    </row>
    <row r="46" spans="10:32">
      <c r="J46" s="47"/>
      <c r="K46" s="47"/>
      <c r="L46" s="47"/>
      <c r="M46" s="47"/>
      <c r="N46" s="47"/>
    </row>
    <row r="47" spans="10:32">
      <c r="J47" s="47"/>
      <c r="K47" s="47"/>
      <c r="L47" s="47"/>
      <c r="M47" s="47"/>
      <c r="N47" s="47"/>
    </row>
    <row r="50" spans="10:14">
      <c r="J50" s="48" t="s">
        <v>41</v>
      </c>
      <c r="K50" s="48"/>
      <c r="L50" s="48"/>
      <c r="M50" s="48"/>
      <c r="N50" s="48"/>
    </row>
    <row r="51" spans="10:14" ht="15.75">
      <c r="J51" s="20"/>
    </row>
    <row r="52" spans="10:14" ht="15.75">
      <c r="J52" s="20"/>
    </row>
    <row r="53" spans="10:14" ht="15.75">
      <c r="J53" s="20"/>
    </row>
    <row r="54" spans="10:14" ht="18">
      <c r="J54" s="21" t="s">
        <v>42</v>
      </c>
    </row>
    <row r="55" spans="10:14" ht="15.75">
      <c r="J55" s="20"/>
    </row>
    <row r="56" spans="10:14">
      <c r="J56" s="22" t="s">
        <v>43</v>
      </c>
    </row>
    <row r="57" spans="10:14">
      <c r="J57" s="22" t="s">
        <v>44</v>
      </c>
    </row>
    <row r="58" spans="10:14">
      <c r="J58" s="49" t="s">
        <v>45</v>
      </c>
      <c r="K58" s="49"/>
      <c r="L58" s="49"/>
      <c r="M58" s="49"/>
      <c r="N58" s="49"/>
    </row>
    <row r="59" spans="10:14">
      <c r="J59" s="50" t="s">
        <v>46</v>
      </c>
      <c r="K59" s="50"/>
      <c r="L59" s="50"/>
      <c r="M59" s="50"/>
      <c r="N59" s="50"/>
    </row>
    <row r="60" spans="10:14">
      <c r="J60" s="23"/>
      <c r="K60" s="23"/>
      <c r="L60" s="23"/>
      <c r="M60" s="23"/>
      <c r="N60" s="23"/>
    </row>
    <row r="61" spans="10:14">
      <c r="K61" s="24" t="s">
        <v>47</v>
      </c>
      <c r="L61" s="24">
        <v>0.5</v>
      </c>
      <c r="M61" s="24"/>
      <c r="N61" s="24"/>
    </row>
    <row r="62" spans="10:14">
      <c r="K62" s="25" t="s">
        <v>48</v>
      </c>
      <c r="L62" s="25">
        <v>1.2</v>
      </c>
    </row>
    <row r="63" spans="10:14">
      <c r="K63" s="25" t="s">
        <v>39</v>
      </c>
      <c r="L63" s="25">
        <f>L61^(1/4)*L62*(N27^0.5)</f>
        <v>4.1319607546914536E-2</v>
      </c>
    </row>
  </sheetData>
  <mergeCells count="23">
    <mergeCell ref="J10:L10"/>
    <mergeCell ref="R10:T10"/>
    <mergeCell ref="A1:C1"/>
    <mergeCell ref="E1:H1"/>
    <mergeCell ref="J1:O1"/>
    <mergeCell ref="R1:U1"/>
    <mergeCell ref="A2:B2"/>
    <mergeCell ref="J3:N3"/>
    <mergeCell ref="R7:T7"/>
    <mergeCell ref="J8:L8"/>
    <mergeCell ref="R8:U8"/>
    <mergeCell ref="J9:M9"/>
    <mergeCell ref="R9:S9"/>
    <mergeCell ref="J45:N47"/>
    <mergeCell ref="J50:N50"/>
    <mergeCell ref="J58:N58"/>
    <mergeCell ref="J59:N59"/>
    <mergeCell ref="R11:T11"/>
    <mergeCell ref="J13:P13"/>
    <mergeCell ref="J28:L28"/>
    <mergeCell ref="J30:K30"/>
    <mergeCell ref="J31:K31"/>
    <mergeCell ref="J34:L34"/>
  </mergeCells>
  <pageMargins left="0.511811024" right="0.511811024" top="0.78740157499999996" bottom="0.78740157499999996" header="0.31496062000000002" footer="0.31496062000000002"/>
  <drawing r:id="rId1"/>
  <legacyDrawing r:id="rId2"/>
  <oleObjects>
    <oleObject progId="Equation.3" shapeId="2049" r:id="rId3"/>
  </oleObjects>
</worksheet>
</file>

<file path=xl/worksheets/sheet3.xml><?xml version="1.0" encoding="utf-8"?>
<worksheet xmlns="http://schemas.openxmlformats.org/spreadsheetml/2006/main" xmlns:r="http://schemas.openxmlformats.org/officeDocument/2006/relationships">
  <dimension ref="A1:AF63"/>
  <sheetViews>
    <sheetView topLeftCell="Q4" workbookViewId="0">
      <selection activeCell="X16" sqref="X16"/>
    </sheetView>
  </sheetViews>
  <sheetFormatPr defaultRowHeight="15"/>
  <cols>
    <col min="1" max="1" width="9.140625" style="25" customWidth="1"/>
    <col min="2" max="9" width="9.140625" style="25"/>
    <col min="10" max="10" width="18.85546875" style="25" bestFit="1" customWidth="1"/>
    <col min="11" max="11" width="11.5703125" style="25" customWidth="1"/>
    <col min="12" max="12" width="9.140625" style="25"/>
    <col min="13" max="13" width="9.140625" style="25" customWidth="1"/>
    <col min="14" max="14" width="9.5703125" style="25" bestFit="1" customWidth="1"/>
    <col min="15" max="23" width="9.140625" style="25"/>
    <col min="24" max="24" width="73" style="25" customWidth="1"/>
    <col min="25" max="25" width="9.140625" style="25"/>
    <col min="26" max="26" width="11.42578125" style="25" bestFit="1" customWidth="1"/>
    <col min="27" max="27" width="9.140625" style="25" hidden="1" customWidth="1"/>
    <col min="28" max="28" width="11.28515625" style="25" hidden="1" customWidth="1"/>
    <col min="29" max="29" width="8.28515625" style="25" hidden="1" customWidth="1"/>
    <col min="30" max="30" width="8.28515625" style="25" customWidth="1"/>
    <col min="31" max="31" width="8.7109375" style="25" customWidth="1"/>
    <col min="32" max="16384" width="9.140625" style="25"/>
  </cols>
  <sheetData>
    <row r="1" spans="1:32" ht="15.75">
      <c r="A1" s="55" t="s">
        <v>0</v>
      </c>
      <c r="B1" s="56"/>
      <c r="C1" s="56"/>
      <c r="D1" s="1"/>
      <c r="E1" s="52" t="s">
        <v>1</v>
      </c>
      <c r="F1" s="52"/>
      <c r="G1" s="52"/>
      <c r="H1" s="57"/>
      <c r="J1" s="52" t="s">
        <v>2</v>
      </c>
      <c r="K1" s="52"/>
      <c r="L1" s="52"/>
      <c r="M1" s="52"/>
      <c r="N1" s="52"/>
      <c r="O1" s="52"/>
      <c r="R1" s="58" t="s">
        <v>3</v>
      </c>
      <c r="S1" s="58"/>
      <c r="T1" s="58"/>
      <c r="U1" s="58"/>
      <c r="X1" s="40" t="s">
        <v>54</v>
      </c>
      <c r="Y1" s="40"/>
      <c r="Z1" s="40"/>
      <c r="AA1" s="41"/>
      <c r="AB1" s="41"/>
      <c r="AC1" s="41"/>
      <c r="AD1" s="41"/>
      <c r="AE1" s="41"/>
      <c r="AF1" s="41"/>
    </row>
    <row r="2" spans="1:32">
      <c r="A2" s="59" t="s">
        <v>52</v>
      </c>
      <c r="B2" s="60"/>
      <c r="X2" s="41"/>
      <c r="Y2" s="41"/>
      <c r="Z2" s="41"/>
      <c r="AA2" s="41"/>
      <c r="AB2" s="41"/>
      <c r="AC2" s="41"/>
      <c r="AD2" s="41"/>
      <c r="AE2" s="41"/>
      <c r="AF2" s="41"/>
    </row>
    <row r="3" spans="1:32" ht="15.75">
      <c r="A3" s="2" t="s">
        <v>4</v>
      </c>
      <c r="B3" s="3" t="s">
        <v>5</v>
      </c>
      <c r="J3" s="52" t="s">
        <v>6</v>
      </c>
      <c r="K3" s="52"/>
      <c r="L3" s="52"/>
      <c r="M3" s="52"/>
      <c r="N3" s="52"/>
      <c r="X3" s="42" t="s">
        <v>55</v>
      </c>
      <c r="Y3" s="41"/>
      <c r="Z3" s="41"/>
      <c r="AA3" s="41"/>
      <c r="AB3" s="41"/>
      <c r="AC3" s="41"/>
      <c r="AD3" s="41"/>
      <c r="AE3" s="41"/>
      <c r="AF3" s="41"/>
    </row>
    <row r="4" spans="1:32">
      <c r="A4" s="2">
        <v>0</v>
      </c>
      <c r="B4" s="4">
        <v>85</v>
      </c>
      <c r="X4" s="41"/>
      <c r="Y4" s="41"/>
      <c r="Z4" s="41"/>
      <c r="AA4" s="41"/>
      <c r="AB4" s="41"/>
      <c r="AC4" s="41"/>
      <c r="AD4" s="41"/>
      <c r="AE4" s="41"/>
      <c r="AF4" s="41"/>
    </row>
    <row r="5" spans="1:32">
      <c r="A5" s="2">
        <v>1</v>
      </c>
      <c r="B5" s="5">
        <f>B4*1.05</f>
        <v>89.25</v>
      </c>
      <c r="X5" s="41" t="s">
        <v>56</v>
      </c>
      <c r="Y5" s="41" t="s">
        <v>57</v>
      </c>
      <c r="Z5" s="41" t="s">
        <v>25</v>
      </c>
      <c r="AA5" s="41"/>
      <c r="AB5" s="41"/>
      <c r="AC5" s="41"/>
      <c r="AD5" s="41"/>
      <c r="AE5" s="41"/>
      <c r="AF5" s="41"/>
    </row>
    <row r="6" spans="1:32">
      <c r="A6" s="2">
        <v>2</v>
      </c>
      <c r="B6" s="5">
        <f t="shared" ref="B6:B24" si="0">B5*1.05</f>
        <v>93.712500000000006</v>
      </c>
      <c r="E6" s="25" t="s">
        <v>7</v>
      </c>
      <c r="F6" s="25" t="s">
        <v>8</v>
      </c>
      <c r="G6" s="25" t="s">
        <v>9</v>
      </c>
      <c r="H6" s="25" t="s">
        <v>10</v>
      </c>
      <c r="X6" s="41"/>
      <c r="Y6" s="41"/>
      <c r="Z6" s="41"/>
      <c r="AA6" s="41"/>
      <c r="AB6" s="41"/>
      <c r="AC6" s="41"/>
      <c r="AD6" s="41"/>
      <c r="AE6" s="41"/>
      <c r="AF6" s="41"/>
    </row>
    <row r="7" spans="1:32">
      <c r="A7" s="2">
        <v>3</v>
      </c>
      <c r="B7" s="5">
        <f t="shared" si="0"/>
        <v>98.398125000000007</v>
      </c>
      <c r="E7" s="25">
        <v>1.2</v>
      </c>
      <c r="F7" s="25">
        <v>200</v>
      </c>
      <c r="G7" s="6">
        <f>B24</f>
        <v>225.53030493727593</v>
      </c>
      <c r="H7" s="7">
        <f>(E7*F7*G7)/86400</f>
        <v>0.62647306927021085</v>
      </c>
      <c r="R7" s="54" t="s">
        <v>11</v>
      </c>
      <c r="S7" s="54"/>
      <c r="T7" s="54"/>
      <c r="X7" s="41" t="s">
        <v>28</v>
      </c>
      <c r="Y7" s="41" t="s">
        <v>58</v>
      </c>
      <c r="Z7" s="41">
        <v>3</v>
      </c>
      <c r="AA7" s="41"/>
      <c r="AB7" s="41"/>
      <c r="AC7" s="41"/>
      <c r="AD7" s="41"/>
      <c r="AE7" s="41"/>
      <c r="AF7" s="41"/>
    </row>
    <row r="8" spans="1:32">
      <c r="A8" s="2">
        <v>4</v>
      </c>
      <c r="B8" s="5">
        <f t="shared" si="0"/>
        <v>103.31803125000002</v>
      </c>
      <c r="H8" s="25">
        <f>H7*1.75</f>
        <v>1.096327871222869</v>
      </c>
      <c r="J8" s="54" t="s">
        <v>12</v>
      </c>
      <c r="K8" s="54"/>
      <c r="L8" s="54"/>
      <c r="N8" s="8">
        <f>N9/N10</f>
        <v>4.7291487532244193E-2</v>
      </c>
      <c r="O8" s="25" t="s">
        <v>13</v>
      </c>
      <c r="R8" s="54" t="s">
        <v>14</v>
      </c>
      <c r="S8" s="54"/>
      <c r="T8" s="54"/>
      <c r="U8" s="54"/>
      <c r="V8" s="25">
        <f xml:space="preserve"> 1000</f>
        <v>1000</v>
      </c>
      <c r="X8" s="41" t="s">
        <v>29</v>
      </c>
      <c r="Y8" s="41" t="s">
        <v>58</v>
      </c>
      <c r="Z8" s="41">
        <v>1</v>
      </c>
      <c r="AA8" s="41"/>
      <c r="AB8" s="41"/>
      <c r="AC8" s="41"/>
      <c r="AD8" s="41"/>
      <c r="AE8" s="41"/>
      <c r="AF8" s="41"/>
    </row>
    <row r="9" spans="1:32">
      <c r="A9" s="2">
        <v>5</v>
      </c>
      <c r="B9" s="5">
        <f t="shared" si="0"/>
        <v>108.48393281250003</v>
      </c>
      <c r="J9" s="54" t="s">
        <v>15</v>
      </c>
      <c r="K9" s="54"/>
      <c r="L9" s="54"/>
      <c r="M9" s="54"/>
      <c r="N9" s="9">
        <v>55</v>
      </c>
      <c r="O9" s="25" t="s">
        <v>16</v>
      </c>
      <c r="R9" s="54" t="s">
        <v>17</v>
      </c>
      <c r="S9" s="54"/>
      <c r="X9" s="41" t="s">
        <v>30</v>
      </c>
      <c r="Y9" s="41" t="s">
        <v>58</v>
      </c>
      <c r="Z9" s="41">
        <v>5</v>
      </c>
      <c r="AA9" s="41"/>
      <c r="AB9" s="41"/>
      <c r="AC9" s="41"/>
      <c r="AD9" s="41"/>
      <c r="AE9" s="41"/>
      <c r="AF9" s="41"/>
    </row>
    <row r="10" spans="1:32">
      <c r="A10" s="2">
        <v>6</v>
      </c>
      <c r="B10" s="5">
        <f t="shared" si="0"/>
        <v>113.90812945312504</v>
      </c>
      <c r="J10" s="54" t="s">
        <v>18</v>
      </c>
      <c r="K10" s="54"/>
      <c r="L10" s="54"/>
      <c r="N10" s="9">
        <v>1163</v>
      </c>
      <c r="O10" s="25" t="s">
        <v>16</v>
      </c>
      <c r="R10" s="54" t="s">
        <v>19</v>
      </c>
      <c r="S10" s="54"/>
      <c r="T10" s="54"/>
      <c r="X10" s="41" t="s">
        <v>31</v>
      </c>
      <c r="Y10" s="41" t="s">
        <v>58</v>
      </c>
      <c r="Z10" s="41">
        <v>14</v>
      </c>
      <c r="AA10" s="41"/>
      <c r="AB10" s="41"/>
      <c r="AC10" s="41"/>
      <c r="AD10" s="41"/>
      <c r="AE10" s="41"/>
      <c r="AF10" s="41"/>
    </row>
    <row r="11" spans="1:32">
      <c r="A11" s="2">
        <v>7</v>
      </c>
      <c r="B11" s="5">
        <f t="shared" si="0"/>
        <v>119.6035359257813</v>
      </c>
      <c r="D11" s="25">
        <f>17*5</f>
        <v>85</v>
      </c>
      <c r="R11" s="51" t="s">
        <v>20</v>
      </c>
      <c r="S11" s="51"/>
      <c r="T11" s="51"/>
      <c r="V11" s="10">
        <v>0.7</v>
      </c>
      <c r="X11" s="41" t="s">
        <v>59</v>
      </c>
      <c r="Y11" s="41" t="s">
        <v>16</v>
      </c>
      <c r="Z11" s="41">
        <v>6851</v>
      </c>
      <c r="AA11" s="41"/>
      <c r="AB11" s="41"/>
      <c r="AC11" s="41"/>
      <c r="AD11" s="41"/>
      <c r="AE11" s="41"/>
      <c r="AF11" s="41"/>
    </row>
    <row r="12" spans="1:32">
      <c r="A12" s="2">
        <v>8</v>
      </c>
      <c r="B12" s="5">
        <f t="shared" si="0"/>
        <v>125.58371272207037</v>
      </c>
      <c r="R12" s="25" t="s">
        <v>21</v>
      </c>
      <c r="S12" s="25">
        <f>V8*N27*(N9+M21)/(75*0.7)</f>
        <v>1.4241821108076127</v>
      </c>
      <c r="T12" s="25" t="s">
        <v>22</v>
      </c>
      <c r="X12" s="29" t="s">
        <v>87</v>
      </c>
      <c r="Y12" s="41" t="s">
        <v>16</v>
      </c>
      <c r="Z12" s="41">
        <v>549</v>
      </c>
      <c r="AA12" s="41"/>
      <c r="AB12" s="41"/>
      <c r="AC12" s="41"/>
      <c r="AD12" s="41"/>
      <c r="AE12" s="41"/>
      <c r="AF12" s="41"/>
    </row>
    <row r="13" spans="1:32" ht="15.75">
      <c r="A13" s="2">
        <v>9</v>
      </c>
      <c r="B13" s="5">
        <f t="shared" si="0"/>
        <v>131.86289835817391</v>
      </c>
      <c r="J13" s="52" t="s">
        <v>23</v>
      </c>
      <c r="K13" s="52"/>
      <c r="L13" s="52"/>
      <c r="M13" s="52"/>
      <c r="N13" s="52"/>
      <c r="O13" s="52"/>
      <c r="P13" s="52"/>
      <c r="Q13" s="11"/>
      <c r="X13" s="29" t="s">
        <v>88</v>
      </c>
      <c r="Y13" s="41" t="s">
        <v>16</v>
      </c>
      <c r="Z13" s="41">
        <v>562</v>
      </c>
      <c r="AA13" s="41"/>
      <c r="AB13" s="41"/>
      <c r="AC13" s="41"/>
      <c r="AD13" s="41"/>
      <c r="AE13" s="41"/>
      <c r="AF13" s="41"/>
    </row>
    <row r="14" spans="1:32">
      <c r="A14" s="2">
        <v>10</v>
      </c>
      <c r="B14" s="5">
        <f t="shared" si="0"/>
        <v>138.4560432760826</v>
      </c>
      <c r="X14" s="30" t="s">
        <v>97</v>
      </c>
      <c r="Y14" s="41" t="s">
        <v>58</v>
      </c>
      <c r="Z14" s="31">
        <v>1</v>
      </c>
      <c r="AA14" s="41"/>
      <c r="AB14" s="41"/>
      <c r="AC14" s="41"/>
      <c r="AD14" s="41"/>
      <c r="AE14" s="41"/>
      <c r="AF14" s="41"/>
    </row>
    <row r="15" spans="1:32" ht="15" customHeight="1">
      <c r="A15" s="2">
        <v>11</v>
      </c>
      <c r="B15" s="5">
        <f t="shared" si="0"/>
        <v>145.37884543988673</v>
      </c>
      <c r="J15" s="12" t="s">
        <v>24</v>
      </c>
      <c r="K15" s="12" t="s">
        <v>25</v>
      </c>
      <c r="L15" s="12" t="s">
        <v>26</v>
      </c>
      <c r="M15" s="13" t="s">
        <v>27</v>
      </c>
      <c r="X15" s="32" t="s">
        <v>104</v>
      </c>
      <c r="Y15" s="41" t="s">
        <v>58</v>
      </c>
      <c r="Z15" s="31">
        <v>19</v>
      </c>
      <c r="AA15" s="41"/>
      <c r="AB15" s="41"/>
      <c r="AC15" s="41"/>
      <c r="AD15" s="41"/>
      <c r="AE15" s="41"/>
      <c r="AF15" s="41"/>
    </row>
    <row r="16" spans="1:32" ht="15" customHeight="1">
      <c r="A16" s="2">
        <v>12</v>
      </c>
      <c r="B16" s="5">
        <f t="shared" si="0"/>
        <v>152.64778771188108</v>
      </c>
      <c r="J16" s="12" t="s">
        <v>28</v>
      </c>
      <c r="K16" s="14">
        <v>1</v>
      </c>
      <c r="L16" s="14">
        <v>0.4</v>
      </c>
      <c r="M16" s="14">
        <f>L16*K16</f>
        <v>0.4</v>
      </c>
      <c r="X16" s="32" t="s">
        <v>92</v>
      </c>
      <c r="Y16" s="41" t="s">
        <v>58</v>
      </c>
      <c r="Z16" s="41">
        <v>17</v>
      </c>
      <c r="AA16" s="41"/>
      <c r="AB16" s="41"/>
      <c r="AC16" s="41"/>
      <c r="AD16" s="41"/>
      <c r="AE16" s="41"/>
      <c r="AF16" s="41"/>
    </row>
    <row r="17" spans="1:32">
      <c r="A17" s="2">
        <v>13</v>
      </c>
      <c r="B17" s="5">
        <f t="shared" si="0"/>
        <v>160.28017709747513</v>
      </c>
      <c r="J17" s="12" t="s">
        <v>29</v>
      </c>
      <c r="K17" s="14">
        <v>1</v>
      </c>
      <c r="L17" s="14">
        <v>6.4</v>
      </c>
      <c r="M17" s="14">
        <f t="shared" ref="M17:M19" si="1">L17*K17</f>
        <v>6.4</v>
      </c>
      <c r="X17" s="32" t="s">
        <v>102</v>
      </c>
      <c r="Y17" s="41" t="s">
        <v>58</v>
      </c>
      <c r="Z17" s="31">
        <v>13</v>
      </c>
      <c r="AA17" s="41"/>
      <c r="AB17" s="41"/>
      <c r="AC17" s="41"/>
      <c r="AD17" s="41"/>
      <c r="AE17" s="41"/>
      <c r="AF17" s="41"/>
    </row>
    <row r="18" spans="1:32">
      <c r="A18" s="2">
        <v>14</v>
      </c>
      <c r="B18" s="5">
        <f t="shared" si="0"/>
        <v>168.2941859523489</v>
      </c>
      <c r="J18" s="12" t="s">
        <v>30</v>
      </c>
      <c r="K18" s="14">
        <v>4</v>
      </c>
      <c r="L18" s="14">
        <v>1.1000000000000001</v>
      </c>
      <c r="M18" s="14">
        <f t="shared" si="1"/>
        <v>4.4000000000000004</v>
      </c>
      <c r="X18" s="30" t="s">
        <v>103</v>
      </c>
      <c r="Y18" s="41" t="s">
        <v>58</v>
      </c>
      <c r="Z18" s="31">
        <v>4</v>
      </c>
      <c r="AA18" s="41"/>
      <c r="AB18" s="41"/>
      <c r="AC18" s="41"/>
      <c r="AD18" s="41"/>
      <c r="AE18" s="41"/>
      <c r="AF18" s="41"/>
    </row>
    <row r="19" spans="1:32">
      <c r="A19" s="2">
        <v>15</v>
      </c>
      <c r="B19" s="5">
        <f t="shared" si="0"/>
        <v>176.70889524996636</v>
      </c>
      <c r="J19" s="12" t="s">
        <v>31</v>
      </c>
      <c r="K19" s="14">
        <v>5</v>
      </c>
      <c r="L19" s="14">
        <v>0.4</v>
      </c>
      <c r="M19" s="14">
        <f t="shared" si="1"/>
        <v>2</v>
      </c>
      <c r="X19" s="33" t="s">
        <v>62</v>
      </c>
      <c r="Y19" s="41" t="s">
        <v>58</v>
      </c>
      <c r="Z19" s="34">
        <v>1</v>
      </c>
      <c r="AA19" s="41"/>
      <c r="AB19" s="41"/>
      <c r="AC19" s="41"/>
      <c r="AD19" s="41"/>
      <c r="AE19" s="41"/>
      <c r="AF19" s="41"/>
    </row>
    <row r="20" spans="1:32">
      <c r="A20" s="2">
        <v>16</v>
      </c>
      <c r="B20" s="5">
        <f t="shared" si="0"/>
        <v>185.54434001246469</v>
      </c>
      <c r="J20" s="15"/>
      <c r="K20" s="16"/>
      <c r="L20" s="14"/>
      <c r="M20" s="14"/>
      <c r="X20" s="41" t="s">
        <v>63</v>
      </c>
      <c r="Y20" s="41" t="s">
        <v>58</v>
      </c>
      <c r="Z20" s="34">
        <v>2</v>
      </c>
      <c r="AA20" s="41"/>
      <c r="AB20" s="41"/>
      <c r="AC20" s="41"/>
      <c r="AD20" s="41"/>
      <c r="AE20" s="41"/>
      <c r="AF20" s="41"/>
    </row>
    <row r="21" spans="1:32">
      <c r="A21" s="2">
        <v>17</v>
      </c>
      <c r="B21" s="5">
        <f t="shared" si="0"/>
        <v>194.82155701308793</v>
      </c>
      <c r="L21" s="17" t="s">
        <v>32</v>
      </c>
      <c r="M21" s="25">
        <f>SUM(M16:M20)</f>
        <v>13.200000000000001</v>
      </c>
      <c r="X21" s="46" t="s">
        <v>93</v>
      </c>
      <c r="Y21" s="46" t="s">
        <v>58</v>
      </c>
      <c r="Z21" s="34">
        <v>3</v>
      </c>
      <c r="AE21" s="41"/>
      <c r="AF21" s="41"/>
    </row>
    <row r="22" spans="1:32" ht="15.75">
      <c r="A22" s="2">
        <v>18</v>
      </c>
      <c r="B22" s="5">
        <f t="shared" si="0"/>
        <v>204.56263486374232</v>
      </c>
      <c r="X22" s="42" t="s">
        <v>86</v>
      </c>
      <c r="Y22" s="42"/>
      <c r="Z22" s="42"/>
      <c r="AA22" s="41"/>
      <c r="AB22" s="41"/>
      <c r="AC22" s="41"/>
      <c r="AD22" s="41"/>
      <c r="AE22" s="41"/>
      <c r="AF22" s="41"/>
    </row>
    <row r="23" spans="1:32">
      <c r="A23" s="2">
        <v>19</v>
      </c>
      <c r="B23" s="5">
        <f t="shared" si="0"/>
        <v>214.79076660692945</v>
      </c>
      <c r="X23" s="41" t="s">
        <v>56</v>
      </c>
      <c r="Y23" s="41" t="s">
        <v>57</v>
      </c>
      <c r="Z23" s="41" t="s">
        <v>25</v>
      </c>
      <c r="AA23" s="41"/>
      <c r="AB23" s="41"/>
      <c r="AC23" s="41"/>
      <c r="AD23" s="41"/>
      <c r="AE23" s="41"/>
      <c r="AF23" s="41"/>
    </row>
    <row r="24" spans="1:32">
      <c r="A24" s="18">
        <v>20</v>
      </c>
      <c r="B24" s="19">
        <f t="shared" si="0"/>
        <v>225.53030493727593</v>
      </c>
      <c r="X24" s="41"/>
      <c r="Y24" s="41"/>
      <c r="Z24" s="41"/>
      <c r="AA24" s="41"/>
      <c r="AB24" s="41"/>
      <c r="AC24" s="41"/>
      <c r="AD24" s="41"/>
      <c r="AE24" s="41"/>
      <c r="AF24" s="41"/>
    </row>
    <row r="25" spans="1:32">
      <c r="X25" s="41" t="s">
        <v>64</v>
      </c>
      <c r="Y25" s="41" t="s">
        <v>65</v>
      </c>
      <c r="Z25" s="41">
        <v>90</v>
      </c>
      <c r="AA25" s="41"/>
      <c r="AB25" s="41"/>
      <c r="AC25" s="41"/>
      <c r="AD25" s="41"/>
      <c r="AE25" s="41"/>
      <c r="AF25" s="41"/>
    </row>
    <row r="26" spans="1:32">
      <c r="X26" s="41" t="s">
        <v>66</v>
      </c>
      <c r="Y26" s="41" t="s">
        <v>67</v>
      </c>
      <c r="Z26" s="41">
        <v>8</v>
      </c>
      <c r="AA26" s="41"/>
      <c r="AB26" s="41"/>
      <c r="AC26" s="41"/>
      <c r="AD26" s="41"/>
      <c r="AE26" s="41"/>
      <c r="AF26" s="41"/>
    </row>
    <row r="27" spans="1:32">
      <c r="J27" s="25" t="s">
        <v>33</v>
      </c>
      <c r="N27" s="7">
        <f>H8/1000</f>
        <v>1.096327871222869E-3</v>
      </c>
      <c r="X27" s="41" t="s">
        <v>68</v>
      </c>
      <c r="Y27" s="41" t="s">
        <v>69</v>
      </c>
      <c r="Z27" s="41">
        <v>380</v>
      </c>
      <c r="AA27" s="41"/>
      <c r="AB27" s="41"/>
      <c r="AC27" s="41"/>
      <c r="AD27" s="41"/>
      <c r="AE27" s="41"/>
      <c r="AF27" s="41"/>
    </row>
    <row r="28" spans="1:32">
      <c r="J28" s="53" t="s">
        <v>34</v>
      </c>
      <c r="K28" s="53"/>
      <c r="L28" s="53"/>
      <c r="N28" s="7">
        <v>140</v>
      </c>
      <c r="X28" s="41" t="s">
        <v>70</v>
      </c>
      <c r="Y28" s="41" t="s">
        <v>71</v>
      </c>
      <c r="Z28" s="41">
        <v>450</v>
      </c>
      <c r="AA28" s="41"/>
      <c r="AB28" s="41"/>
      <c r="AC28" s="41"/>
      <c r="AD28" s="41"/>
      <c r="AE28" s="41"/>
      <c r="AF28" s="41"/>
    </row>
    <row r="29" spans="1:32">
      <c r="J29" s="25" t="s">
        <v>35</v>
      </c>
      <c r="N29" s="25">
        <v>0.05</v>
      </c>
      <c r="X29" s="41" t="s">
        <v>72</v>
      </c>
      <c r="Y29" s="41" t="s">
        <v>71</v>
      </c>
      <c r="Z29" s="41">
        <v>450</v>
      </c>
      <c r="AA29" s="41"/>
      <c r="AB29" s="41"/>
      <c r="AC29" s="41"/>
      <c r="AD29" s="41"/>
      <c r="AE29" s="41"/>
      <c r="AF29" s="41"/>
    </row>
    <row r="30" spans="1:32">
      <c r="J30" s="54" t="s">
        <v>36</v>
      </c>
      <c r="K30" s="54"/>
      <c r="N30" s="25">
        <f>M21</f>
        <v>13.200000000000001</v>
      </c>
      <c r="X30" s="41" t="s">
        <v>73</v>
      </c>
      <c r="Y30" s="41" t="s">
        <v>69</v>
      </c>
      <c r="Z30" s="41">
        <v>10</v>
      </c>
      <c r="AA30" s="41"/>
      <c r="AB30" s="41"/>
      <c r="AC30" s="41"/>
      <c r="AD30" s="41"/>
      <c r="AE30" s="41"/>
      <c r="AF30" s="41"/>
    </row>
    <row r="31" spans="1:32">
      <c r="J31" s="54" t="s">
        <v>37</v>
      </c>
      <c r="K31" s="54"/>
      <c r="N31" s="25">
        <f>10.643*((N27/N28)^1.852)*(N30/(N29^4.87))</f>
        <v>0.10641299653787965</v>
      </c>
      <c r="X31" s="41" t="s">
        <v>74</v>
      </c>
      <c r="Y31" s="41" t="s">
        <v>67</v>
      </c>
      <c r="Z31" s="41">
        <v>140</v>
      </c>
      <c r="AA31" s="41"/>
      <c r="AB31" s="41"/>
      <c r="AC31" s="41"/>
      <c r="AD31" s="41"/>
      <c r="AE31" s="41"/>
      <c r="AF31" s="41"/>
    </row>
    <row r="32" spans="1:32" ht="15.75">
      <c r="X32" s="40" t="s">
        <v>75</v>
      </c>
      <c r="Y32" s="36"/>
      <c r="Z32" s="36"/>
      <c r="AA32" s="41"/>
      <c r="AB32" s="41"/>
      <c r="AC32" s="41"/>
      <c r="AD32" s="41"/>
      <c r="AE32" s="41"/>
      <c r="AF32" s="41"/>
    </row>
    <row r="33" spans="10:32">
      <c r="X33" s="41"/>
      <c r="Y33" s="41" t="s">
        <v>57</v>
      </c>
      <c r="Z33" s="41" t="s">
        <v>25</v>
      </c>
      <c r="AA33" s="41"/>
      <c r="AB33" s="41"/>
      <c r="AC33" s="41">
        <f>0.8*0.6</f>
        <v>0.48</v>
      </c>
      <c r="AD33" s="41"/>
      <c r="AE33" s="41"/>
      <c r="AF33" s="41"/>
    </row>
    <row r="34" spans="10:32" ht="15.75">
      <c r="J34" s="52" t="s">
        <v>38</v>
      </c>
      <c r="K34" s="52"/>
      <c r="L34" s="52"/>
      <c r="X34" s="37" t="s">
        <v>76</v>
      </c>
      <c r="Y34" s="41" t="s">
        <v>16</v>
      </c>
      <c r="Z34" s="41">
        <f>Z11</f>
        <v>6851</v>
      </c>
      <c r="AA34" s="41"/>
      <c r="AB34" s="41"/>
      <c r="AC34" s="41"/>
      <c r="AD34" s="41"/>
      <c r="AE34" s="41"/>
      <c r="AF34" s="41"/>
    </row>
    <row r="35" spans="10:32">
      <c r="X35" s="38" t="s">
        <v>89</v>
      </c>
      <c r="Y35" s="41" t="s">
        <v>16</v>
      </c>
      <c r="Z35" s="41">
        <f>Z12</f>
        <v>549</v>
      </c>
      <c r="AA35" s="41">
        <f>SUM(Z34:Z36)</f>
        <v>7962</v>
      </c>
      <c r="AB35" s="41"/>
      <c r="AC35" s="41"/>
      <c r="AD35" s="41"/>
      <c r="AE35" s="41"/>
      <c r="AF35" s="41"/>
    </row>
    <row r="36" spans="10:32" ht="14.25" customHeight="1">
      <c r="X36" s="38" t="s">
        <v>77</v>
      </c>
      <c r="Y36" s="41" t="s">
        <v>16</v>
      </c>
      <c r="Z36" s="41">
        <f>Z13</f>
        <v>562</v>
      </c>
      <c r="AA36" s="41"/>
      <c r="AB36" s="41">
        <f>0.75*AA35</f>
        <v>5971.5</v>
      </c>
      <c r="AC36" s="41"/>
      <c r="AD36" s="41"/>
      <c r="AE36" s="41"/>
      <c r="AF36" s="41"/>
    </row>
    <row r="37" spans="10:32" ht="30">
      <c r="X37" s="35" t="s">
        <v>78</v>
      </c>
      <c r="Y37" s="35" t="s">
        <v>67</v>
      </c>
      <c r="Z37" s="41">
        <f>AB36*AC33</f>
        <v>2866.3199999999997</v>
      </c>
      <c r="AA37" s="41"/>
      <c r="AB37" s="41">
        <f>0.2*AA35</f>
        <v>1592.4</v>
      </c>
      <c r="AC37" s="41"/>
      <c r="AD37" s="41"/>
      <c r="AE37" s="41"/>
      <c r="AF37" s="41"/>
    </row>
    <row r="38" spans="10:32">
      <c r="X38" s="41" t="s">
        <v>79</v>
      </c>
      <c r="Y38" s="35" t="s">
        <v>67</v>
      </c>
      <c r="Z38" s="41">
        <f>AB37*AC33</f>
        <v>764.35199999999998</v>
      </c>
      <c r="AA38" s="41"/>
      <c r="AB38" s="41">
        <f>0.05*AA35</f>
        <v>398.1</v>
      </c>
      <c r="AC38" s="41"/>
      <c r="AD38" s="41"/>
      <c r="AE38" s="41"/>
      <c r="AF38" s="41"/>
    </row>
    <row r="39" spans="10:32">
      <c r="X39" s="41" t="s">
        <v>80</v>
      </c>
      <c r="Y39" s="35" t="s">
        <v>67</v>
      </c>
      <c r="Z39" s="41">
        <f>AB38*AC33</f>
        <v>191.08799999999999</v>
      </c>
      <c r="AA39" s="41"/>
      <c r="AB39" s="41"/>
      <c r="AC39" s="41"/>
      <c r="AD39" s="41"/>
      <c r="AE39" s="41"/>
      <c r="AF39" s="41"/>
    </row>
    <row r="40" spans="10:32" ht="30">
      <c r="X40" s="39" t="s">
        <v>81</v>
      </c>
      <c r="Y40" s="41" t="s">
        <v>58</v>
      </c>
      <c r="Z40" s="41">
        <v>1</v>
      </c>
      <c r="AA40" s="41"/>
      <c r="AB40" s="41"/>
      <c r="AC40" s="41"/>
      <c r="AD40" s="41"/>
      <c r="AE40" s="41"/>
      <c r="AF40" s="41"/>
    </row>
    <row r="41" spans="10:32">
      <c r="X41" s="41" t="s">
        <v>82</v>
      </c>
      <c r="Y41" s="41" t="s">
        <v>83</v>
      </c>
      <c r="Z41" s="41">
        <v>300</v>
      </c>
      <c r="AA41" s="41"/>
      <c r="AB41" s="41"/>
      <c r="AC41" s="41"/>
      <c r="AD41" s="41"/>
      <c r="AE41" s="41"/>
      <c r="AF41" s="41"/>
    </row>
    <row r="42" spans="10:32">
      <c r="K42" s="25" t="s">
        <v>39</v>
      </c>
      <c r="L42" s="25">
        <f>((10.643*((N27/N28)^1.852))/N8)^(1/4.87)</f>
        <v>3.4769257667646367E-2</v>
      </c>
      <c r="M42" s="25" t="s">
        <v>16</v>
      </c>
      <c r="X42" s="41" t="s">
        <v>84</v>
      </c>
      <c r="Y42" s="41" t="s">
        <v>83</v>
      </c>
      <c r="Z42" s="41">
        <v>90</v>
      </c>
      <c r="AA42" s="41"/>
      <c r="AB42" s="41"/>
      <c r="AC42" s="41"/>
      <c r="AD42" s="41"/>
      <c r="AE42" s="41"/>
      <c r="AF42" s="41"/>
    </row>
    <row r="43" spans="10:32">
      <c r="X43" s="41" t="s">
        <v>85</v>
      </c>
      <c r="Y43" s="41" t="s">
        <v>83</v>
      </c>
      <c r="Z43" s="41">
        <v>400</v>
      </c>
      <c r="AA43" s="41"/>
      <c r="AB43" s="41"/>
      <c r="AC43" s="41"/>
      <c r="AD43" s="41"/>
    </row>
    <row r="45" spans="10:32">
      <c r="J45" s="47" t="s">
        <v>40</v>
      </c>
      <c r="K45" s="47"/>
      <c r="L45" s="47"/>
      <c r="M45" s="47"/>
      <c r="N45" s="47"/>
    </row>
    <row r="46" spans="10:32">
      <c r="J46" s="47"/>
      <c r="K46" s="47"/>
      <c r="L46" s="47"/>
      <c r="M46" s="47"/>
      <c r="N46" s="47"/>
    </row>
    <row r="47" spans="10:32">
      <c r="J47" s="47"/>
      <c r="K47" s="47"/>
      <c r="L47" s="47"/>
      <c r="M47" s="47"/>
      <c r="N47" s="47"/>
    </row>
    <row r="50" spans="10:14">
      <c r="J50" s="48" t="s">
        <v>41</v>
      </c>
      <c r="K50" s="48"/>
      <c r="L50" s="48"/>
      <c r="M50" s="48"/>
      <c r="N50" s="48"/>
    </row>
    <row r="51" spans="10:14" ht="15.75">
      <c r="J51" s="20"/>
    </row>
    <row r="52" spans="10:14" ht="15.75">
      <c r="J52" s="20"/>
    </row>
    <row r="53" spans="10:14" ht="15.75">
      <c r="J53" s="20"/>
    </row>
    <row r="54" spans="10:14" ht="18">
      <c r="J54" s="21" t="s">
        <v>42</v>
      </c>
    </row>
    <row r="55" spans="10:14" ht="15.75">
      <c r="J55" s="20"/>
    </row>
    <row r="56" spans="10:14">
      <c r="J56" s="22" t="s">
        <v>43</v>
      </c>
    </row>
    <row r="57" spans="10:14">
      <c r="J57" s="22" t="s">
        <v>44</v>
      </c>
    </row>
    <row r="58" spans="10:14">
      <c r="J58" s="49" t="s">
        <v>45</v>
      </c>
      <c r="K58" s="49"/>
      <c r="L58" s="49"/>
      <c r="M58" s="49"/>
      <c r="N58" s="49"/>
    </row>
    <row r="59" spans="10:14">
      <c r="J59" s="50" t="s">
        <v>46</v>
      </c>
      <c r="K59" s="50"/>
      <c r="L59" s="50"/>
      <c r="M59" s="50"/>
      <c r="N59" s="50"/>
    </row>
    <row r="60" spans="10:14">
      <c r="J60" s="23"/>
      <c r="K60" s="23"/>
      <c r="L60" s="23"/>
      <c r="M60" s="23"/>
      <c r="N60" s="23"/>
    </row>
    <row r="61" spans="10:14">
      <c r="K61" s="24" t="s">
        <v>47</v>
      </c>
      <c r="L61" s="24">
        <v>0.5</v>
      </c>
      <c r="M61" s="24"/>
      <c r="N61" s="24"/>
    </row>
    <row r="62" spans="10:14">
      <c r="K62" s="25" t="s">
        <v>48</v>
      </c>
      <c r="L62" s="25">
        <v>1.2</v>
      </c>
    </row>
    <row r="63" spans="10:14">
      <c r="K63" s="25" t="s">
        <v>39</v>
      </c>
      <c r="L63" s="25">
        <f>L61^(1/4)*L62*(N27^0.5)</f>
        <v>3.3411346214864246E-2</v>
      </c>
    </row>
  </sheetData>
  <mergeCells count="23">
    <mergeCell ref="J10:L10"/>
    <mergeCell ref="R10:T10"/>
    <mergeCell ref="A1:C1"/>
    <mergeCell ref="E1:H1"/>
    <mergeCell ref="J1:O1"/>
    <mergeCell ref="R1:U1"/>
    <mergeCell ref="A2:B2"/>
    <mergeCell ref="J3:N3"/>
    <mergeCell ref="R7:T7"/>
    <mergeCell ref="J8:L8"/>
    <mergeCell ref="R8:U8"/>
    <mergeCell ref="J9:M9"/>
    <mergeCell ref="R9:S9"/>
    <mergeCell ref="J45:N47"/>
    <mergeCell ref="J50:N50"/>
    <mergeCell ref="J58:N58"/>
    <mergeCell ref="J59:N59"/>
    <mergeCell ref="R11:T11"/>
    <mergeCell ref="J13:P13"/>
    <mergeCell ref="J28:L28"/>
    <mergeCell ref="J30:K30"/>
    <mergeCell ref="J31:K31"/>
    <mergeCell ref="J34:L34"/>
  </mergeCells>
  <pageMargins left="0.511811024" right="0.511811024" top="0.78740157499999996" bottom="0.78740157499999996" header="0.31496062000000002" footer="0.31496062000000002"/>
  <drawing r:id="rId1"/>
  <legacyDrawing r:id="rId2"/>
  <oleObjects>
    <oleObject progId="Equation.3" shapeId="3073" r:id="rId3"/>
  </oleObjects>
</worksheet>
</file>

<file path=xl/worksheets/sheet4.xml><?xml version="1.0" encoding="utf-8"?>
<worksheet xmlns="http://schemas.openxmlformats.org/spreadsheetml/2006/main" xmlns:r="http://schemas.openxmlformats.org/officeDocument/2006/relationships">
  <dimension ref="A1:AF63"/>
  <sheetViews>
    <sheetView topLeftCell="P10" workbookViewId="0">
      <selection activeCell="X15" sqref="X15:X21"/>
    </sheetView>
  </sheetViews>
  <sheetFormatPr defaultRowHeight="15"/>
  <cols>
    <col min="1" max="1" width="9.140625" style="25" customWidth="1"/>
    <col min="2" max="9" width="9.140625" style="25"/>
    <col min="10" max="10" width="18.85546875" style="25" bestFit="1" customWidth="1"/>
    <col min="11" max="11" width="11.5703125" style="25" customWidth="1"/>
    <col min="12" max="12" width="9.140625" style="25"/>
    <col min="13" max="13" width="9.140625" style="25" customWidth="1"/>
    <col min="14" max="14" width="9.5703125" style="25" bestFit="1" customWidth="1"/>
    <col min="15" max="23" width="9.140625" style="25"/>
    <col min="24" max="24" width="63.42578125" style="25" bestFit="1" customWidth="1"/>
    <col min="25" max="25" width="8.42578125" style="25" bestFit="1" customWidth="1"/>
    <col min="26" max="26" width="11.42578125" style="25" bestFit="1" customWidth="1"/>
    <col min="27" max="27" width="9.140625" style="25" hidden="1" customWidth="1"/>
    <col min="28" max="28" width="11.42578125" style="25" hidden="1" customWidth="1"/>
    <col min="29" max="29" width="9.140625" style="25" hidden="1" customWidth="1"/>
    <col min="30" max="31" width="9.28515625" style="25" customWidth="1"/>
    <col min="32" max="16384" width="9.140625" style="25"/>
  </cols>
  <sheetData>
    <row r="1" spans="1:32" ht="15.75">
      <c r="A1" s="55" t="s">
        <v>0</v>
      </c>
      <c r="B1" s="56"/>
      <c r="C1" s="56"/>
      <c r="D1" s="1"/>
      <c r="E1" s="52" t="s">
        <v>1</v>
      </c>
      <c r="F1" s="52"/>
      <c r="G1" s="52"/>
      <c r="H1" s="57"/>
      <c r="J1" s="52" t="s">
        <v>2</v>
      </c>
      <c r="K1" s="52"/>
      <c r="L1" s="52"/>
      <c r="M1" s="52"/>
      <c r="N1" s="52"/>
      <c r="O1" s="52"/>
      <c r="R1" s="58" t="s">
        <v>3</v>
      </c>
      <c r="S1" s="58"/>
      <c r="T1" s="58"/>
      <c r="U1" s="58"/>
      <c r="X1" s="44" t="s">
        <v>54</v>
      </c>
      <c r="Y1" s="44"/>
      <c r="Z1" s="44"/>
      <c r="AA1" s="43"/>
      <c r="AB1" s="43"/>
      <c r="AC1" s="43"/>
      <c r="AD1" s="43"/>
      <c r="AE1" s="43"/>
      <c r="AF1" s="43"/>
    </row>
    <row r="2" spans="1:32">
      <c r="A2" s="59" t="s">
        <v>51</v>
      </c>
      <c r="B2" s="60"/>
      <c r="X2" s="43"/>
      <c r="Y2" s="43"/>
      <c r="Z2" s="43"/>
      <c r="AA2" s="43"/>
      <c r="AB2" s="43"/>
      <c r="AC2" s="43"/>
      <c r="AD2" s="43"/>
      <c r="AE2" s="43"/>
      <c r="AF2" s="43"/>
    </row>
    <row r="3" spans="1:32" ht="15.75">
      <c r="A3" s="2" t="s">
        <v>4</v>
      </c>
      <c r="B3" s="3" t="s">
        <v>5</v>
      </c>
      <c r="J3" s="52" t="s">
        <v>6</v>
      </c>
      <c r="K3" s="52"/>
      <c r="L3" s="52"/>
      <c r="M3" s="52"/>
      <c r="N3" s="52"/>
      <c r="X3" s="45" t="s">
        <v>55</v>
      </c>
      <c r="Y3" s="43"/>
      <c r="Z3" s="43"/>
      <c r="AA3" s="43"/>
      <c r="AB3" s="43"/>
      <c r="AC3" s="43"/>
      <c r="AD3" s="43"/>
      <c r="AE3" s="43"/>
      <c r="AF3" s="43"/>
    </row>
    <row r="4" spans="1:32">
      <c r="A4" s="2">
        <v>0</v>
      </c>
      <c r="B4" s="4">
        <v>115</v>
      </c>
      <c r="X4" s="43"/>
      <c r="Y4" s="43"/>
      <c r="Z4" s="43"/>
      <c r="AA4" s="43"/>
      <c r="AB4" s="43"/>
      <c r="AC4" s="43"/>
      <c r="AD4" s="43"/>
      <c r="AE4" s="43"/>
      <c r="AF4" s="43"/>
    </row>
    <row r="5" spans="1:32">
      <c r="A5" s="2">
        <v>1</v>
      </c>
      <c r="B5" s="5">
        <f>B4*1.05</f>
        <v>120.75</v>
      </c>
      <c r="X5" s="43" t="s">
        <v>56</v>
      </c>
      <c r="Y5" s="43" t="s">
        <v>57</v>
      </c>
      <c r="Z5" s="43" t="s">
        <v>25</v>
      </c>
      <c r="AA5" s="43"/>
      <c r="AB5" s="43"/>
      <c r="AC5" s="43"/>
      <c r="AD5" s="43"/>
      <c r="AE5" s="43"/>
      <c r="AF5" s="43"/>
    </row>
    <row r="6" spans="1:32">
      <c r="A6" s="2">
        <v>2</v>
      </c>
      <c r="B6" s="5">
        <f t="shared" ref="B6:B24" si="0">B5*1.05</f>
        <v>126.78750000000001</v>
      </c>
      <c r="E6" s="25" t="s">
        <v>7</v>
      </c>
      <c r="F6" s="25" t="s">
        <v>8</v>
      </c>
      <c r="G6" s="25" t="s">
        <v>9</v>
      </c>
      <c r="H6" s="25" t="s">
        <v>10</v>
      </c>
      <c r="X6" s="43"/>
      <c r="Y6" s="43"/>
      <c r="Z6" s="43"/>
      <c r="AA6" s="43"/>
      <c r="AB6" s="43"/>
      <c r="AC6" s="43"/>
      <c r="AD6" s="43"/>
      <c r="AE6" s="43"/>
      <c r="AF6" s="43"/>
    </row>
    <row r="7" spans="1:32">
      <c r="A7" s="2">
        <v>3</v>
      </c>
      <c r="B7" s="5">
        <f t="shared" si="0"/>
        <v>133.12687500000001</v>
      </c>
      <c r="E7" s="25">
        <v>1.2</v>
      </c>
      <c r="F7" s="25">
        <v>200</v>
      </c>
      <c r="G7" s="6">
        <f>B24</f>
        <v>305.12923609160867</v>
      </c>
      <c r="H7" s="7">
        <f>(E7*F7*G7)/86400</f>
        <v>0.84758121136557962</v>
      </c>
      <c r="R7" s="54" t="s">
        <v>11</v>
      </c>
      <c r="S7" s="54"/>
      <c r="T7" s="54"/>
      <c r="X7" s="43" t="s">
        <v>28</v>
      </c>
      <c r="Y7" s="43" t="s">
        <v>58</v>
      </c>
      <c r="Z7" s="43">
        <v>4</v>
      </c>
      <c r="AA7" s="43"/>
      <c r="AB7" s="43"/>
      <c r="AC7" s="43"/>
      <c r="AD7" s="43"/>
      <c r="AE7" s="43"/>
      <c r="AF7" s="43"/>
    </row>
    <row r="8" spans="1:32">
      <c r="A8" s="2">
        <v>4</v>
      </c>
      <c r="B8" s="5">
        <f t="shared" si="0"/>
        <v>139.78321875000003</v>
      </c>
      <c r="H8" s="25">
        <f>H7*1.75</f>
        <v>1.4832671198897645</v>
      </c>
      <c r="J8" s="54" t="s">
        <v>12</v>
      </c>
      <c r="K8" s="54"/>
      <c r="L8" s="54"/>
      <c r="N8" s="8">
        <f>N9/N10</f>
        <v>8.4668192219679639E-2</v>
      </c>
      <c r="O8" s="25" t="s">
        <v>13</v>
      </c>
      <c r="R8" s="54" t="s">
        <v>14</v>
      </c>
      <c r="S8" s="54"/>
      <c r="T8" s="54"/>
      <c r="U8" s="54"/>
      <c r="V8" s="25">
        <f xml:space="preserve"> 1000</f>
        <v>1000</v>
      </c>
      <c r="X8" s="43" t="s">
        <v>29</v>
      </c>
      <c r="Y8" s="43" t="s">
        <v>58</v>
      </c>
      <c r="Z8" s="43">
        <v>1</v>
      </c>
      <c r="AA8" s="43"/>
      <c r="AB8" s="43"/>
      <c r="AC8" s="43"/>
      <c r="AD8" s="43"/>
      <c r="AE8" s="43"/>
      <c r="AF8" s="43"/>
    </row>
    <row r="9" spans="1:32">
      <c r="A9" s="2">
        <v>5</v>
      </c>
      <c r="B9" s="5">
        <f t="shared" si="0"/>
        <v>146.77237968750003</v>
      </c>
      <c r="J9" s="54" t="s">
        <v>15</v>
      </c>
      <c r="K9" s="54"/>
      <c r="L9" s="54"/>
      <c r="M9" s="54"/>
      <c r="N9" s="9">
        <v>37</v>
      </c>
      <c r="O9" s="25" t="s">
        <v>16</v>
      </c>
      <c r="R9" s="54" t="s">
        <v>17</v>
      </c>
      <c r="S9" s="54"/>
      <c r="X9" s="43" t="s">
        <v>30</v>
      </c>
      <c r="Y9" s="43" t="s">
        <v>58</v>
      </c>
      <c r="Z9" s="43">
        <v>5</v>
      </c>
      <c r="AA9" s="43"/>
      <c r="AB9" s="43"/>
      <c r="AC9" s="43"/>
      <c r="AD9" s="43"/>
      <c r="AE9" s="43"/>
      <c r="AF9" s="43"/>
    </row>
    <row r="10" spans="1:32">
      <c r="A10" s="2">
        <v>6</v>
      </c>
      <c r="B10" s="5">
        <f t="shared" si="0"/>
        <v>154.11099867187505</v>
      </c>
      <c r="J10" s="54" t="s">
        <v>18</v>
      </c>
      <c r="K10" s="54"/>
      <c r="L10" s="54"/>
      <c r="N10" s="9">
        <v>437</v>
      </c>
      <c r="O10" s="25" t="s">
        <v>16</v>
      </c>
      <c r="R10" s="54" t="s">
        <v>19</v>
      </c>
      <c r="S10" s="54"/>
      <c r="T10" s="54"/>
      <c r="X10" s="43" t="s">
        <v>31</v>
      </c>
      <c r="Y10" s="43" t="s">
        <v>58</v>
      </c>
      <c r="Z10" s="43">
        <v>14</v>
      </c>
      <c r="AA10" s="43"/>
      <c r="AB10" s="43"/>
      <c r="AC10" s="43"/>
      <c r="AD10" s="43"/>
      <c r="AE10" s="43"/>
      <c r="AF10" s="43"/>
    </row>
    <row r="11" spans="1:32">
      <c r="A11" s="2">
        <v>7</v>
      </c>
      <c r="B11" s="5">
        <f t="shared" si="0"/>
        <v>161.81654860546882</v>
      </c>
      <c r="D11" s="25">
        <f>23*5</f>
        <v>115</v>
      </c>
      <c r="R11" s="51" t="s">
        <v>20</v>
      </c>
      <c r="S11" s="51"/>
      <c r="T11" s="51"/>
      <c r="V11" s="10">
        <v>0.7</v>
      </c>
      <c r="X11" s="43" t="s">
        <v>59</v>
      </c>
      <c r="Y11" s="43" t="s">
        <v>16</v>
      </c>
      <c r="Z11" s="43">
        <v>7503</v>
      </c>
      <c r="AA11" s="43"/>
      <c r="AB11" s="43"/>
      <c r="AC11" s="43"/>
      <c r="AD11" s="43"/>
      <c r="AE11" s="43"/>
      <c r="AF11" s="43"/>
    </row>
    <row r="12" spans="1:32">
      <c r="A12" s="2">
        <v>8</v>
      </c>
      <c r="B12" s="5">
        <f t="shared" si="0"/>
        <v>169.90737603574226</v>
      </c>
      <c r="R12" s="25" t="s">
        <v>21</v>
      </c>
      <c r="S12" s="25">
        <f>V8*N27*(N9+M21)/(75*0.7)</f>
        <v>1.4182858936850702</v>
      </c>
      <c r="T12" s="25" t="s">
        <v>22</v>
      </c>
      <c r="X12" s="29" t="s">
        <v>87</v>
      </c>
      <c r="Y12" s="43" t="s">
        <v>16</v>
      </c>
      <c r="Z12" s="43">
        <v>757</v>
      </c>
      <c r="AA12" s="43"/>
      <c r="AB12" s="43"/>
      <c r="AC12" s="43"/>
      <c r="AD12" s="43"/>
      <c r="AE12" s="43"/>
      <c r="AF12" s="43"/>
    </row>
    <row r="13" spans="1:32" ht="15.75">
      <c r="A13" s="2">
        <v>9</v>
      </c>
      <c r="B13" s="5">
        <f t="shared" si="0"/>
        <v>178.40274483752938</v>
      </c>
      <c r="J13" s="52" t="s">
        <v>23</v>
      </c>
      <c r="K13" s="52"/>
      <c r="L13" s="52"/>
      <c r="M13" s="52"/>
      <c r="N13" s="52"/>
      <c r="O13" s="52"/>
      <c r="P13" s="52"/>
      <c r="Q13" s="11"/>
      <c r="X13" s="29" t="s">
        <v>88</v>
      </c>
      <c r="Y13" s="43" t="s">
        <v>16</v>
      </c>
      <c r="Z13" s="43">
        <v>525</v>
      </c>
      <c r="AA13" s="43"/>
      <c r="AB13" s="43"/>
      <c r="AC13" s="43"/>
      <c r="AD13" s="43"/>
      <c r="AE13" s="43"/>
      <c r="AF13" s="43"/>
    </row>
    <row r="14" spans="1:32">
      <c r="A14" s="2">
        <v>10</v>
      </c>
      <c r="B14" s="5">
        <f t="shared" si="0"/>
        <v>187.32288207940587</v>
      </c>
      <c r="X14" s="30" t="s">
        <v>60</v>
      </c>
      <c r="Y14" s="43" t="s">
        <v>58</v>
      </c>
      <c r="Z14" s="31">
        <v>1</v>
      </c>
      <c r="AA14" s="43"/>
      <c r="AB14" s="43"/>
      <c r="AC14" s="43"/>
      <c r="AD14" s="43"/>
      <c r="AE14" s="43"/>
      <c r="AF14" s="43"/>
    </row>
    <row r="15" spans="1:32" ht="15" customHeight="1">
      <c r="A15" s="2">
        <v>11</v>
      </c>
      <c r="B15" s="5">
        <f t="shared" si="0"/>
        <v>196.68902618337617</v>
      </c>
      <c r="J15" s="12" t="s">
        <v>24</v>
      </c>
      <c r="K15" s="12" t="s">
        <v>25</v>
      </c>
      <c r="L15" s="12" t="s">
        <v>26</v>
      </c>
      <c r="M15" s="13" t="s">
        <v>27</v>
      </c>
      <c r="X15" s="32" t="s">
        <v>104</v>
      </c>
      <c r="Y15" s="43" t="s">
        <v>58</v>
      </c>
      <c r="Z15" s="31">
        <v>26</v>
      </c>
      <c r="AA15" s="43"/>
      <c r="AB15" s="43"/>
      <c r="AC15" s="43"/>
      <c r="AD15" s="43"/>
      <c r="AE15" s="43"/>
      <c r="AF15" s="43"/>
    </row>
    <row r="16" spans="1:32" ht="15" customHeight="1">
      <c r="A16" s="2">
        <v>12</v>
      </c>
      <c r="B16" s="5">
        <f t="shared" si="0"/>
        <v>206.523477492545</v>
      </c>
      <c r="J16" s="12" t="s">
        <v>28</v>
      </c>
      <c r="K16" s="14">
        <v>1</v>
      </c>
      <c r="L16" s="14">
        <v>0.4</v>
      </c>
      <c r="M16" s="14">
        <f>L16*K16</f>
        <v>0.4</v>
      </c>
      <c r="X16" s="32" t="s">
        <v>92</v>
      </c>
      <c r="Y16" s="43" t="s">
        <v>58</v>
      </c>
      <c r="Z16" s="43">
        <v>23</v>
      </c>
      <c r="AA16" s="43"/>
      <c r="AB16" s="43"/>
      <c r="AC16" s="43"/>
      <c r="AD16" s="43"/>
      <c r="AE16" s="43"/>
      <c r="AF16" s="43"/>
    </row>
    <row r="17" spans="1:32">
      <c r="A17" s="2">
        <v>13</v>
      </c>
      <c r="B17" s="5">
        <f t="shared" si="0"/>
        <v>216.84965136717227</v>
      </c>
      <c r="J17" s="12" t="s">
        <v>29</v>
      </c>
      <c r="K17" s="14">
        <v>1</v>
      </c>
      <c r="L17" s="14">
        <v>6.4</v>
      </c>
      <c r="M17" s="14">
        <f t="shared" ref="M17:M19" si="1">L17*K17</f>
        <v>6.4</v>
      </c>
      <c r="X17" s="32" t="s">
        <v>102</v>
      </c>
      <c r="Y17" s="43" t="s">
        <v>58</v>
      </c>
      <c r="Z17" s="31">
        <v>17</v>
      </c>
      <c r="AA17" s="43"/>
      <c r="AB17" s="43"/>
      <c r="AC17" s="43"/>
      <c r="AD17" s="43"/>
      <c r="AE17" s="43"/>
      <c r="AF17" s="43"/>
    </row>
    <row r="18" spans="1:32">
      <c r="A18" s="2">
        <v>14</v>
      </c>
      <c r="B18" s="5">
        <f t="shared" si="0"/>
        <v>227.6921339355309</v>
      </c>
      <c r="J18" s="12" t="s">
        <v>30</v>
      </c>
      <c r="K18" s="14">
        <v>4</v>
      </c>
      <c r="L18" s="14">
        <v>1.1000000000000001</v>
      </c>
      <c r="M18" s="14">
        <f t="shared" si="1"/>
        <v>4.4000000000000004</v>
      </c>
      <c r="X18" s="30" t="s">
        <v>103</v>
      </c>
      <c r="Y18" s="43" t="s">
        <v>58</v>
      </c>
      <c r="Z18" s="31">
        <v>6</v>
      </c>
      <c r="AA18" s="43"/>
      <c r="AB18" s="43"/>
      <c r="AC18" s="43"/>
      <c r="AD18" s="43"/>
      <c r="AE18" s="43"/>
      <c r="AF18" s="43"/>
    </row>
    <row r="19" spans="1:32">
      <c r="A19" s="2">
        <v>15</v>
      </c>
      <c r="B19" s="5">
        <f t="shared" si="0"/>
        <v>239.07674063230746</v>
      </c>
      <c r="J19" s="12" t="s">
        <v>31</v>
      </c>
      <c r="K19" s="14">
        <v>5</v>
      </c>
      <c r="L19" s="14">
        <v>0.4</v>
      </c>
      <c r="M19" s="14">
        <f t="shared" si="1"/>
        <v>2</v>
      </c>
      <c r="X19" s="33" t="s">
        <v>62</v>
      </c>
      <c r="Y19" s="43" t="s">
        <v>58</v>
      </c>
      <c r="Z19" s="34">
        <v>1</v>
      </c>
      <c r="AA19" s="43"/>
      <c r="AB19" s="43"/>
      <c r="AC19" s="43"/>
      <c r="AD19" s="43"/>
      <c r="AE19" s="43"/>
      <c r="AF19" s="43"/>
    </row>
    <row r="20" spans="1:32">
      <c r="A20" s="2">
        <v>16</v>
      </c>
      <c r="B20" s="5">
        <f t="shared" si="0"/>
        <v>251.03057766392286</v>
      </c>
      <c r="J20" s="15"/>
      <c r="K20" s="16"/>
      <c r="L20" s="14"/>
      <c r="M20" s="14"/>
      <c r="X20" s="43" t="s">
        <v>63</v>
      </c>
      <c r="Y20" s="43" t="s">
        <v>58</v>
      </c>
      <c r="Z20" s="34">
        <v>3</v>
      </c>
      <c r="AA20" s="43"/>
      <c r="AB20" s="43"/>
      <c r="AC20" s="43"/>
      <c r="AD20" s="43"/>
      <c r="AE20" s="43"/>
      <c r="AF20" s="43"/>
    </row>
    <row r="21" spans="1:32">
      <c r="A21" s="2">
        <v>17</v>
      </c>
      <c r="B21" s="5">
        <f t="shared" si="0"/>
        <v>263.582106547119</v>
      </c>
      <c r="L21" s="17" t="s">
        <v>32</v>
      </c>
      <c r="M21" s="25">
        <f>SUM(M16:M20)</f>
        <v>13.200000000000001</v>
      </c>
      <c r="X21" s="46" t="s">
        <v>93</v>
      </c>
      <c r="Y21" s="46" t="s">
        <v>58</v>
      </c>
      <c r="Z21" s="34">
        <v>4</v>
      </c>
      <c r="AA21" s="43"/>
      <c r="AB21" s="43"/>
      <c r="AC21" s="43"/>
      <c r="AD21" s="43"/>
      <c r="AE21" s="43"/>
      <c r="AF21" s="43"/>
    </row>
    <row r="22" spans="1:32" ht="15.75">
      <c r="A22" s="2">
        <v>18</v>
      </c>
      <c r="B22" s="5">
        <f t="shared" si="0"/>
        <v>276.76121187447495</v>
      </c>
      <c r="X22" s="45" t="s">
        <v>86</v>
      </c>
      <c r="Y22" s="45"/>
      <c r="Z22" s="45"/>
      <c r="AA22" s="43"/>
      <c r="AB22" s="43"/>
      <c r="AC22" s="43"/>
      <c r="AD22" s="43"/>
      <c r="AE22" s="43"/>
      <c r="AF22" s="43"/>
    </row>
    <row r="23" spans="1:32">
      <c r="A23" s="2">
        <v>19</v>
      </c>
      <c r="B23" s="5">
        <f t="shared" si="0"/>
        <v>290.59927246819871</v>
      </c>
      <c r="X23" s="43" t="s">
        <v>56</v>
      </c>
      <c r="Y23" s="43" t="s">
        <v>57</v>
      </c>
      <c r="Z23" s="43" t="s">
        <v>25</v>
      </c>
      <c r="AA23" s="43"/>
      <c r="AB23" s="43"/>
      <c r="AC23" s="43"/>
      <c r="AD23" s="43"/>
      <c r="AE23" s="43"/>
      <c r="AF23" s="43"/>
    </row>
    <row r="24" spans="1:32">
      <c r="A24" s="18">
        <v>20</v>
      </c>
      <c r="B24" s="19">
        <f t="shared" si="0"/>
        <v>305.12923609160867</v>
      </c>
      <c r="X24" s="43"/>
      <c r="Y24" s="43"/>
      <c r="Z24" s="43"/>
      <c r="AA24" s="43"/>
      <c r="AB24" s="43"/>
      <c r="AC24" s="43"/>
      <c r="AD24" s="43"/>
      <c r="AE24" s="43"/>
      <c r="AF24" s="43"/>
    </row>
    <row r="25" spans="1:32">
      <c r="X25" s="43" t="s">
        <v>64</v>
      </c>
      <c r="Y25" s="43" t="s">
        <v>65</v>
      </c>
      <c r="Z25" s="43">
        <v>90</v>
      </c>
      <c r="AA25" s="43"/>
      <c r="AB25" s="43"/>
      <c r="AC25" s="43"/>
      <c r="AD25" s="43"/>
      <c r="AE25" s="43"/>
      <c r="AF25" s="43"/>
    </row>
    <row r="26" spans="1:32">
      <c r="X26" s="43" t="s">
        <v>66</v>
      </c>
      <c r="Y26" s="43" t="s">
        <v>67</v>
      </c>
      <c r="Z26" s="43">
        <v>8</v>
      </c>
      <c r="AA26" s="43"/>
      <c r="AB26" s="43"/>
      <c r="AC26" s="43"/>
      <c r="AD26" s="43"/>
      <c r="AE26" s="43"/>
      <c r="AF26" s="43"/>
    </row>
    <row r="27" spans="1:32">
      <c r="J27" s="25" t="s">
        <v>33</v>
      </c>
      <c r="N27" s="7">
        <f>H8/1000</f>
        <v>1.4832671198897645E-3</v>
      </c>
      <c r="X27" s="43" t="s">
        <v>68</v>
      </c>
      <c r="Y27" s="43" t="s">
        <v>69</v>
      </c>
      <c r="Z27" s="43">
        <v>380</v>
      </c>
      <c r="AA27" s="43"/>
      <c r="AB27" s="43"/>
      <c r="AC27" s="43"/>
      <c r="AD27" s="43"/>
      <c r="AE27" s="43"/>
      <c r="AF27" s="43"/>
    </row>
    <row r="28" spans="1:32">
      <c r="J28" s="53" t="s">
        <v>34</v>
      </c>
      <c r="K28" s="53"/>
      <c r="L28" s="53"/>
      <c r="N28" s="7">
        <v>140</v>
      </c>
      <c r="X28" s="43" t="s">
        <v>70</v>
      </c>
      <c r="Y28" s="43" t="s">
        <v>71</v>
      </c>
      <c r="Z28" s="43">
        <v>450</v>
      </c>
      <c r="AA28" s="43"/>
      <c r="AB28" s="43"/>
      <c r="AC28" s="43"/>
      <c r="AD28" s="43"/>
      <c r="AE28" s="43"/>
      <c r="AF28" s="43"/>
    </row>
    <row r="29" spans="1:32">
      <c r="J29" s="25" t="s">
        <v>35</v>
      </c>
      <c r="N29" s="25">
        <v>0.05</v>
      </c>
      <c r="X29" s="43" t="s">
        <v>72</v>
      </c>
      <c r="Y29" s="43" t="s">
        <v>71</v>
      </c>
      <c r="Z29" s="43">
        <v>450</v>
      </c>
      <c r="AA29" s="43"/>
      <c r="AB29" s="43"/>
      <c r="AC29" s="43"/>
      <c r="AD29" s="43"/>
      <c r="AE29" s="43"/>
      <c r="AF29" s="43"/>
    </row>
    <row r="30" spans="1:32">
      <c r="J30" s="54" t="s">
        <v>36</v>
      </c>
      <c r="K30" s="54"/>
      <c r="N30" s="25">
        <f>M21</f>
        <v>13.200000000000001</v>
      </c>
      <c r="X30" s="43" t="s">
        <v>73</v>
      </c>
      <c r="Y30" s="43" t="s">
        <v>69</v>
      </c>
      <c r="Z30" s="43">
        <v>10</v>
      </c>
      <c r="AA30" s="43"/>
      <c r="AB30" s="43"/>
      <c r="AC30" s="43"/>
      <c r="AD30" s="43"/>
      <c r="AE30" s="43"/>
      <c r="AF30" s="43"/>
    </row>
    <row r="31" spans="1:32">
      <c r="J31" s="54" t="s">
        <v>37</v>
      </c>
      <c r="K31" s="54"/>
      <c r="N31" s="25">
        <f>10.643*((N27/N28)^1.852)*(N30/(N29^4.87))</f>
        <v>0.18626155434165179</v>
      </c>
      <c r="X31" s="43" t="s">
        <v>74</v>
      </c>
      <c r="Y31" s="43" t="s">
        <v>67</v>
      </c>
      <c r="Z31" s="43">
        <v>140</v>
      </c>
      <c r="AA31" s="43"/>
      <c r="AB31" s="43"/>
      <c r="AC31" s="43"/>
      <c r="AD31" s="43"/>
      <c r="AE31" s="43"/>
      <c r="AF31" s="43"/>
    </row>
    <row r="32" spans="1:32" ht="15.75">
      <c r="X32" s="44" t="s">
        <v>75</v>
      </c>
      <c r="Y32" s="36"/>
      <c r="Z32" s="36"/>
      <c r="AA32" s="43"/>
      <c r="AB32" s="43"/>
      <c r="AC32" s="43">
        <f>0.8*0.6</f>
        <v>0.48</v>
      </c>
      <c r="AD32" s="43"/>
      <c r="AE32" s="43"/>
      <c r="AF32" s="43"/>
    </row>
    <row r="33" spans="10:32">
      <c r="X33" s="43"/>
      <c r="Y33" s="43" t="s">
        <v>57</v>
      </c>
      <c r="Z33" s="43" t="s">
        <v>25</v>
      </c>
      <c r="AA33" s="43"/>
      <c r="AB33" s="43"/>
      <c r="AC33" s="43"/>
      <c r="AD33" s="43"/>
      <c r="AE33" s="43"/>
      <c r="AF33" s="43"/>
    </row>
    <row r="34" spans="10:32" ht="15.75">
      <c r="J34" s="52" t="s">
        <v>38</v>
      </c>
      <c r="K34" s="52"/>
      <c r="L34" s="52"/>
      <c r="X34" s="37" t="s">
        <v>76</v>
      </c>
      <c r="Y34" s="43" t="s">
        <v>16</v>
      </c>
      <c r="Z34" s="43">
        <f>Z11</f>
        <v>7503</v>
      </c>
      <c r="AA34" s="43">
        <f>SUM(Z34:Z36)</f>
        <v>8785</v>
      </c>
      <c r="AB34" s="43"/>
      <c r="AC34" s="43"/>
      <c r="AD34" s="43"/>
      <c r="AE34" s="43"/>
      <c r="AF34" s="43"/>
    </row>
    <row r="35" spans="10:32">
      <c r="X35" s="38" t="s">
        <v>89</v>
      </c>
      <c r="Y35" s="43" t="s">
        <v>16</v>
      </c>
      <c r="Z35" s="43">
        <f>Z12</f>
        <v>757</v>
      </c>
      <c r="AA35" s="43"/>
      <c r="AB35" s="43">
        <f>0.75*AA34</f>
        <v>6588.75</v>
      </c>
      <c r="AC35" s="43"/>
      <c r="AD35" s="43"/>
      <c r="AE35" s="43"/>
      <c r="AF35" s="43"/>
    </row>
    <row r="36" spans="10:32">
      <c r="X36" s="38" t="s">
        <v>77</v>
      </c>
      <c r="Y36" s="43" t="s">
        <v>16</v>
      </c>
      <c r="Z36" s="43">
        <f>Z13</f>
        <v>525</v>
      </c>
      <c r="AA36" s="43"/>
      <c r="AB36" s="43">
        <f>0.2*AA34</f>
        <v>1757</v>
      </c>
      <c r="AC36" s="43"/>
      <c r="AD36" s="43"/>
      <c r="AE36" s="43"/>
      <c r="AF36" s="43"/>
    </row>
    <row r="37" spans="10:32" ht="30">
      <c r="X37" s="35" t="s">
        <v>78</v>
      </c>
      <c r="Y37" s="35" t="s">
        <v>67</v>
      </c>
      <c r="Z37" s="43">
        <f>AB35*AC32</f>
        <v>3162.6</v>
      </c>
      <c r="AA37" s="43"/>
      <c r="AB37" s="43">
        <f>0.05*AA34</f>
        <v>439.25</v>
      </c>
      <c r="AC37" s="43"/>
      <c r="AD37" s="43"/>
      <c r="AE37" s="43"/>
      <c r="AF37" s="43"/>
    </row>
    <row r="38" spans="10:32">
      <c r="X38" s="43" t="s">
        <v>79</v>
      </c>
      <c r="Y38" s="35" t="s">
        <v>67</v>
      </c>
      <c r="Z38" s="43">
        <f>AB36*AC32</f>
        <v>843.36</v>
      </c>
      <c r="AA38" s="43"/>
      <c r="AB38" s="43"/>
      <c r="AC38" s="43"/>
      <c r="AD38" s="43"/>
      <c r="AE38" s="43"/>
      <c r="AF38" s="43"/>
    </row>
    <row r="39" spans="10:32">
      <c r="X39" s="43" t="s">
        <v>80</v>
      </c>
      <c r="Y39" s="35" t="s">
        <v>67</v>
      </c>
      <c r="Z39" s="43">
        <f>AB37*AC32</f>
        <v>210.84</v>
      </c>
      <c r="AA39" s="43"/>
      <c r="AB39" s="43"/>
      <c r="AC39" s="43"/>
      <c r="AD39" s="43"/>
      <c r="AE39" s="43"/>
      <c r="AF39" s="43"/>
    </row>
    <row r="40" spans="10:32" ht="45">
      <c r="X40" s="39" t="s">
        <v>81</v>
      </c>
      <c r="Y40" s="43" t="s">
        <v>58</v>
      </c>
      <c r="Z40" s="43">
        <v>1</v>
      </c>
      <c r="AA40" s="43"/>
      <c r="AB40" s="43"/>
      <c r="AC40" s="43"/>
      <c r="AD40" s="43"/>
      <c r="AE40" s="43"/>
      <c r="AF40" s="43"/>
    </row>
    <row r="41" spans="10:32">
      <c r="X41" s="43" t="s">
        <v>82</v>
      </c>
      <c r="Y41" s="43" t="s">
        <v>83</v>
      </c>
      <c r="Z41" s="43">
        <v>300</v>
      </c>
      <c r="AA41" s="43"/>
      <c r="AB41" s="43"/>
      <c r="AC41" s="43"/>
      <c r="AD41" s="43"/>
      <c r="AE41" s="43"/>
      <c r="AF41" s="43"/>
    </row>
    <row r="42" spans="10:32">
      <c r="K42" s="25" t="s">
        <v>39</v>
      </c>
      <c r="L42" s="25">
        <f>((10.643*((N27/N28)^1.852))/N8)^(1/4.87)</f>
        <v>3.4608382248714743E-2</v>
      </c>
      <c r="M42" s="25" t="s">
        <v>16</v>
      </c>
      <c r="X42" s="43" t="s">
        <v>84</v>
      </c>
      <c r="Y42" s="43" t="s">
        <v>83</v>
      </c>
      <c r="Z42" s="43">
        <v>90</v>
      </c>
      <c r="AA42" s="43"/>
      <c r="AB42" s="43"/>
      <c r="AC42" s="43"/>
      <c r="AD42" s="43"/>
      <c r="AE42" s="43"/>
      <c r="AF42" s="43"/>
    </row>
    <row r="43" spans="10:32">
      <c r="X43" s="43" t="s">
        <v>85</v>
      </c>
      <c r="Y43" s="43" t="s">
        <v>83</v>
      </c>
      <c r="Z43" s="43">
        <v>400</v>
      </c>
    </row>
    <row r="45" spans="10:32">
      <c r="J45" s="47" t="s">
        <v>40</v>
      </c>
      <c r="K45" s="47"/>
      <c r="L45" s="47"/>
      <c r="M45" s="47"/>
      <c r="N45" s="47"/>
    </row>
    <row r="46" spans="10:32">
      <c r="J46" s="47"/>
      <c r="K46" s="47"/>
      <c r="L46" s="47"/>
      <c r="M46" s="47"/>
      <c r="N46" s="47"/>
    </row>
    <row r="47" spans="10:32">
      <c r="J47" s="47"/>
      <c r="K47" s="47"/>
      <c r="L47" s="47"/>
      <c r="M47" s="47"/>
      <c r="N47" s="47"/>
    </row>
    <row r="50" spans="10:14">
      <c r="J50" s="48" t="s">
        <v>41</v>
      </c>
      <c r="K50" s="48"/>
      <c r="L50" s="48"/>
      <c r="M50" s="48"/>
      <c r="N50" s="48"/>
    </row>
    <row r="51" spans="10:14" ht="15.75">
      <c r="J51" s="20"/>
    </row>
    <row r="52" spans="10:14" ht="15.75">
      <c r="J52" s="20"/>
    </row>
    <row r="53" spans="10:14" ht="15.75">
      <c r="J53" s="20"/>
    </row>
    <row r="54" spans="10:14" ht="18">
      <c r="J54" s="21" t="s">
        <v>42</v>
      </c>
    </row>
    <row r="55" spans="10:14" ht="15.75">
      <c r="J55" s="20"/>
    </row>
    <row r="56" spans="10:14">
      <c r="J56" s="22" t="s">
        <v>43</v>
      </c>
    </row>
    <row r="57" spans="10:14">
      <c r="J57" s="22" t="s">
        <v>44</v>
      </c>
    </row>
    <row r="58" spans="10:14">
      <c r="J58" s="49" t="s">
        <v>45</v>
      </c>
      <c r="K58" s="49"/>
      <c r="L58" s="49"/>
      <c r="M58" s="49"/>
      <c r="N58" s="49"/>
    </row>
    <row r="59" spans="10:14">
      <c r="J59" s="50" t="s">
        <v>46</v>
      </c>
      <c r="K59" s="50"/>
      <c r="L59" s="50"/>
      <c r="M59" s="50"/>
      <c r="N59" s="50"/>
    </row>
    <row r="60" spans="10:14">
      <c r="J60" s="23"/>
      <c r="K60" s="23"/>
      <c r="L60" s="23"/>
      <c r="M60" s="23"/>
      <c r="N60" s="23"/>
    </row>
    <row r="61" spans="10:14">
      <c r="K61" s="24" t="s">
        <v>47</v>
      </c>
      <c r="L61" s="24">
        <v>0.5</v>
      </c>
      <c r="M61" s="24"/>
      <c r="N61" s="24"/>
    </row>
    <row r="62" spans="10:14">
      <c r="K62" s="25" t="s">
        <v>48</v>
      </c>
      <c r="L62" s="25">
        <v>1.2</v>
      </c>
    </row>
    <row r="63" spans="10:14">
      <c r="K63" s="25" t="s">
        <v>39</v>
      </c>
      <c r="L63" s="25">
        <f>L61^(1/4)*L62*(N27^0.5)</f>
        <v>3.8862741332161992E-2</v>
      </c>
    </row>
  </sheetData>
  <mergeCells count="23">
    <mergeCell ref="J10:L10"/>
    <mergeCell ref="R10:T10"/>
    <mergeCell ref="A1:C1"/>
    <mergeCell ref="E1:H1"/>
    <mergeCell ref="J1:O1"/>
    <mergeCell ref="R1:U1"/>
    <mergeCell ref="A2:B2"/>
    <mergeCell ref="J3:N3"/>
    <mergeCell ref="R7:T7"/>
    <mergeCell ref="J8:L8"/>
    <mergeCell ref="R8:U8"/>
    <mergeCell ref="J9:M9"/>
    <mergeCell ref="R9:S9"/>
    <mergeCell ref="J45:N47"/>
    <mergeCell ref="J50:N50"/>
    <mergeCell ref="J58:N58"/>
    <mergeCell ref="J59:N59"/>
    <mergeCell ref="R11:T11"/>
    <mergeCell ref="J13:P13"/>
    <mergeCell ref="J28:L28"/>
    <mergeCell ref="J30:K30"/>
    <mergeCell ref="J31:K31"/>
    <mergeCell ref="J34:L34"/>
  </mergeCells>
  <pageMargins left="0.511811024" right="0.511811024" top="0.78740157499999996" bottom="0.78740157499999996" header="0.31496062000000002" footer="0.31496062000000002"/>
  <drawing r:id="rId1"/>
  <legacyDrawing r:id="rId2"/>
  <oleObjects>
    <oleObject progId="Equation.3" shapeId="4097" r:id="rId3"/>
  </oleObjects>
</worksheet>
</file>

<file path=xl/worksheets/sheet5.xml><?xml version="1.0" encoding="utf-8"?>
<worksheet xmlns="http://schemas.openxmlformats.org/spreadsheetml/2006/main" xmlns:r="http://schemas.openxmlformats.org/officeDocument/2006/relationships">
  <dimension ref="A1:AE63"/>
  <sheetViews>
    <sheetView tabSelected="1" topLeftCell="M19" workbookViewId="0">
      <selection activeCell="Z21" sqref="Z21"/>
    </sheetView>
  </sheetViews>
  <sheetFormatPr defaultRowHeight="15"/>
  <cols>
    <col min="1" max="1" width="9.140625" style="25" customWidth="1"/>
    <col min="2" max="9" width="9.140625" style="25"/>
    <col min="10" max="10" width="18.85546875" style="25" bestFit="1" customWidth="1"/>
    <col min="11" max="11" width="11.5703125" style="25" customWidth="1"/>
    <col min="12" max="12" width="9.140625" style="25"/>
    <col min="13" max="13" width="9.140625" style="25" customWidth="1"/>
    <col min="14" max="14" width="9.5703125" style="25" bestFit="1" customWidth="1"/>
    <col min="15" max="23" width="9.140625" style="25"/>
    <col min="24" max="24" width="63.42578125" style="25" bestFit="1" customWidth="1"/>
    <col min="25" max="25" width="9.140625" style="25"/>
    <col min="26" max="26" width="11.42578125" style="25" bestFit="1" customWidth="1"/>
    <col min="27" max="27" width="9.140625" style="25" hidden="1" customWidth="1"/>
    <col min="28" max="28" width="11.42578125" style="25" hidden="1" customWidth="1"/>
    <col min="29" max="29" width="9.5703125" style="25" hidden="1" customWidth="1"/>
    <col min="30" max="31" width="9.28515625" style="25" hidden="1" customWidth="1"/>
    <col min="32" max="16384" width="9.140625" style="25"/>
  </cols>
  <sheetData>
    <row r="1" spans="1:31" ht="15.75">
      <c r="A1" s="55" t="s">
        <v>0</v>
      </c>
      <c r="B1" s="56"/>
      <c r="C1" s="56"/>
      <c r="D1" s="1"/>
      <c r="E1" s="52" t="s">
        <v>1</v>
      </c>
      <c r="F1" s="52"/>
      <c r="G1" s="52"/>
      <c r="H1" s="57"/>
      <c r="J1" s="52" t="s">
        <v>2</v>
      </c>
      <c r="K1" s="52"/>
      <c r="L1" s="52"/>
      <c r="M1" s="52"/>
      <c r="N1" s="52"/>
      <c r="O1" s="52"/>
      <c r="R1" s="58" t="s">
        <v>3</v>
      </c>
      <c r="S1" s="58"/>
      <c r="T1" s="58"/>
      <c r="U1" s="58"/>
      <c r="X1" s="44" t="s">
        <v>54</v>
      </c>
      <c r="Y1" s="44"/>
      <c r="Z1" s="44"/>
      <c r="AA1" s="43"/>
      <c r="AB1" s="43"/>
      <c r="AC1" s="43"/>
      <c r="AD1" s="43"/>
      <c r="AE1" s="27"/>
    </row>
    <row r="2" spans="1:31">
      <c r="A2" s="59" t="s">
        <v>53</v>
      </c>
      <c r="B2" s="60"/>
      <c r="X2" s="43"/>
      <c r="Y2" s="43"/>
      <c r="Z2" s="43"/>
      <c r="AA2" s="43"/>
      <c r="AB2" s="43"/>
      <c r="AC2" s="43"/>
      <c r="AD2" s="43"/>
      <c r="AE2" s="27"/>
    </row>
    <row r="3" spans="1:31" ht="15.75">
      <c r="A3" s="2" t="s">
        <v>4</v>
      </c>
      <c r="B3" s="3" t="s">
        <v>5</v>
      </c>
      <c r="J3" s="52" t="s">
        <v>6</v>
      </c>
      <c r="K3" s="52"/>
      <c r="L3" s="52"/>
      <c r="M3" s="52"/>
      <c r="N3" s="52"/>
      <c r="X3" s="45" t="s">
        <v>55</v>
      </c>
      <c r="Y3" s="43"/>
      <c r="Z3" s="43"/>
      <c r="AA3" s="43"/>
      <c r="AB3" s="43"/>
      <c r="AC3" s="43"/>
      <c r="AD3" s="43"/>
      <c r="AE3" s="27"/>
    </row>
    <row r="4" spans="1:31">
      <c r="A4" s="2">
        <v>0</v>
      </c>
      <c r="B4" s="4">
        <v>50</v>
      </c>
      <c r="X4" s="43"/>
      <c r="Y4" s="43"/>
      <c r="Z4" s="43"/>
      <c r="AA4" s="43"/>
      <c r="AB4" s="43"/>
      <c r="AC4" s="43"/>
      <c r="AD4" s="43"/>
      <c r="AE4" s="27"/>
    </row>
    <row r="5" spans="1:31">
      <c r="A5" s="2">
        <v>1</v>
      </c>
      <c r="B5" s="5">
        <f>B4*1.05</f>
        <v>52.5</v>
      </c>
      <c r="X5" s="43" t="s">
        <v>56</v>
      </c>
      <c r="Y5" s="43" t="s">
        <v>57</v>
      </c>
      <c r="Z5" s="43" t="s">
        <v>25</v>
      </c>
      <c r="AA5" s="43"/>
      <c r="AB5" s="43"/>
      <c r="AC5" s="43"/>
      <c r="AD5" s="43"/>
      <c r="AE5" s="27"/>
    </row>
    <row r="6" spans="1:31">
      <c r="A6" s="2">
        <v>2</v>
      </c>
      <c r="B6" s="5">
        <f t="shared" ref="B6:B24" si="0">B5*1.05</f>
        <v>55.125</v>
      </c>
      <c r="E6" s="25" t="s">
        <v>7</v>
      </c>
      <c r="F6" s="25" t="s">
        <v>8</v>
      </c>
      <c r="G6" s="25" t="s">
        <v>9</v>
      </c>
      <c r="H6" s="25" t="s">
        <v>10</v>
      </c>
      <c r="X6" s="43"/>
      <c r="Y6" s="43"/>
      <c r="Z6" s="43"/>
      <c r="AA6" s="43"/>
      <c r="AB6" s="43"/>
      <c r="AC6" s="43"/>
      <c r="AD6" s="43"/>
      <c r="AE6" s="27"/>
    </row>
    <row r="7" spans="1:31">
      <c r="A7" s="2">
        <v>3</v>
      </c>
      <c r="B7" s="5">
        <f t="shared" si="0"/>
        <v>57.881250000000001</v>
      </c>
      <c r="E7" s="25">
        <v>1.2</v>
      </c>
      <c r="F7" s="25">
        <v>200</v>
      </c>
      <c r="G7" s="6">
        <f>B24</f>
        <v>132.66488525722113</v>
      </c>
      <c r="H7" s="7">
        <f>(E7*F7*G7)/86400</f>
        <v>0.36851357015894759</v>
      </c>
      <c r="R7" s="54" t="s">
        <v>11</v>
      </c>
      <c r="S7" s="54"/>
      <c r="T7" s="54"/>
      <c r="X7" s="43" t="s">
        <v>28</v>
      </c>
      <c r="Y7" s="43" t="s">
        <v>58</v>
      </c>
      <c r="Z7" s="43">
        <v>3</v>
      </c>
      <c r="AA7" s="43"/>
      <c r="AB7" s="43"/>
      <c r="AC7" s="43"/>
      <c r="AD7" s="43"/>
      <c r="AE7" s="27"/>
    </row>
    <row r="8" spans="1:31">
      <c r="A8" s="2">
        <v>4</v>
      </c>
      <c r="B8" s="5">
        <f t="shared" si="0"/>
        <v>60.775312500000005</v>
      </c>
      <c r="H8" s="25">
        <f>H7*1.75</f>
        <v>0.64489874777815825</v>
      </c>
      <c r="J8" s="54" t="s">
        <v>12</v>
      </c>
      <c r="K8" s="54"/>
      <c r="L8" s="54"/>
      <c r="N8" s="8">
        <f>N9/N10</f>
        <v>2.6397515527950312E-2</v>
      </c>
      <c r="O8" s="25" t="s">
        <v>13</v>
      </c>
      <c r="R8" s="54" t="s">
        <v>14</v>
      </c>
      <c r="S8" s="54"/>
      <c r="T8" s="54"/>
      <c r="U8" s="54"/>
      <c r="V8" s="25">
        <f xml:space="preserve"> 1000</f>
        <v>1000</v>
      </c>
      <c r="X8" s="43" t="s">
        <v>29</v>
      </c>
      <c r="Y8" s="43" t="s">
        <v>58</v>
      </c>
      <c r="Z8" s="43">
        <v>1</v>
      </c>
      <c r="AA8" s="43"/>
      <c r="AB8" s="43"/>
      <c r="AC8" s="43"/>
      <c r="AD8" s="43"/>
      <c r="AE8" s="27"/>
    </row>
    <row r="9" spans="1:31">
      <c r="A9" s="2">
        <v>5</v>
      </c>
      <c r="B9" s="5">
        <f t="shared" si="0"/>
        <v>63.814078125000009</v>
      </c>
      <c r="J9" s="54" t="s">
        <v>15</v>
      </c>
      <c r="K9" s="54"/>
      <c r="L9" s="54"/>
      <c r="M9" s="54"/>
      <c r="N9" s="9">
        <v>51</v>
      </c>
      <c r="O9" s="25" t="s">
        <v>16</v>
      </c>
      <c r="R9" s="54" t="s">
        <v>17</v>
      </c>
      <c r="S9" s="54"/>
      <c r="X9" s="43" t="s">
        <v>30</v>
      </c>
      <c r="Y9" s="43" t="s">
        <v>58</v>
      </c>
      <c r="Z9" s="43">
        <v>5</v>
      </c>
      <c r="AA9" s="43"/>
      <c r="AB9" s="43"/>
      <c r="AC9" s="43"/>
      <c r="AD9" s="43"/>
      <c r="AE9" s="27"/>
    </row>
    <row r="10" spans="1:31">
      <c r="A10" s="2">
        <v>6</v>
      </c>
      <c r="B10" s="5">
        <f t="shared" si="0"/>
        <v>67.004782031250016</v>
      </c>
      <c r="J10" s="54" t="s">
        <v>18</v>
      </c>
      <c r="K10" s="54"/>
      <c r="L10" s="54"/>
      <c r="N10" s="9">
        <v>1932</v>
      </c>
      <c r="O10" s="25" t="s">
        <v>16</v>
      </c>
      <c r="R10" s="54" t="s">
        <v>19</v>
      </c>
      <c r="S10" s="54"/>
      <c r="T10" s="54"/>
      <c r="X10" s="43" t="s">
        <v>31</v>
      </c>
      <c r="Y10" s="43" t="s">
        <v>58</v>
      </c>
      <c r="Z10" s="43">
        <v>14</v>
      </c>
      <c r="AA10" s="43"/>
      <c r="AB10" s="43"/>
      <c r="AC10" s="43"/>
      <c r="AD10" s="43"/>
      <c r="AE10" s="27"/>
    </row>
    <row r="11" spans="1:31">
      <c r="A11" s="2">
        <v>7</v>
      </c>
      <c r="B11" s="5">
        <f t="shared" si="0"/>
        <v>70.355021132812524</v>
      </c>
      <c r="D11" s="25">
        <f>10*5</f>
        <v>50</v>
      </c>
      <c r="R11" s="51" t="s">
        <v>20</v>
      </c>
      <c r="S11" s="51"/>
      <c r="T11" s="51"/>
      <c r="V11" s="10">
        <v>0.7</v>
      </c>
      <c r="X11" s="43" t="s">
        <v>59</v>
      </c>
      <c r="Y11" s="43" t="s">
        <v>16</v>
      </c>
      <c r="Z11" s="43">
        <v>5355</v>
      </c>
      <c r="AA11" s="43"/>
      <c r="AB11" s="43"/>
      <c r="AC11" s="43"/>
      <c r="AD11" s="43"/>
      <c r="AE11" s="27"/>
    </row>
    <row r="12" spans="1:31">
      <c r="A12" s="2">
        <v>8</v>
      </c>
      <c r="B12" s="5">
        <f t="shared" si="0"/>
        <v>73.872772189453158</v>
      </c>
      <c r="R12" s="25" t="s">
        <v>21</v>
      </c>
      <c r="S12" s="25">
        <f>V8*N27*(N9+M21)/(75*0.7)</f>
        <v>0.78861904014014783</v>
      </c>
      <c r="T12" s="25" t="s">
        <v>22</v>
      </c>
      <c r="X12" s="29" t="s">
        <v>87</v>
      </c>
      <c r="Y12" s="43" t="s">
        <v>16</v>
      </c>
      <c r="Z12" s="43">
        <v>883</v>
      </c>
      <c r="AA12" s="43"/>
      <c r="AB12" s="43"/>
      <c r="AC12" s="43"/>
      <c r="AD12" s="43"/>
      <c r="AE12" s="27"/>
    </row>
    <row r="13" spans="1:31" ht="15.75">
      <c r="A13" s="2">
        <v>9</v>
      </c>
      <c r="B13" s="5">
        <f t="shared" si="0"/>
        <v>77.566410798925816</v>
      </c>
      <c r="J13" s="52" t="s">
        <v>23</v>
      </c>
      <c r="K13" s="52"/>
      <c r="L13" s="52"/>
      <c r="M13" s="52"/>
      <c r="N13" s="52"/>
      <c r="O13" s="52"/>
      <c r="P13" s="52"/>
      <c r="Q13" s="11"/>
      <c r="X13" s="29" t="s">
        <v>88</v>
      </c>
      <c r="Y13" s="43" t="s">
        <v>16</v>
      </c>
      <c r="Z13" s="43">
        <v>249</v>
      </c>
      <c r="AA13" s="43"/>
      <c r="AB13" s="43"/>
      <c r="AC13" s="43"/>
      <c r="AD13" s="43"/>
      <c r="AE13" s="27"/>
    </row>
    <row r="14" spans="1:31">
      <c r="A14" s="2">
        <v>10</v>
      </c>
      <c r="B14" s="5">
        <f t="shared" si="0"/>
        <v>81.444731338872103</v>
      </c>
      <c r="X14" s="30" t="s">
        <v>60</v>
      </c>
      <c r="Y14" s="43" t="s">
        <v>58</v>
      </c>
      <c r="Z14" s="31">
        <v>1</v>
      </c>
      <c r="AA14" s="43"/>
      <c r="AB14" s="43"/>
      <c r="AC14" s="43"/>
      <c r="AD14" s="43"/>
      <c r="AE14" s="27"/>
    </row>
    <row r="15" spans="1:31" ht="15" customHeight="1">
      <c r="A15" s="2">
        <v>11</v>
      </c>
      <c r="B15" s="5">
        <f t="shared" si="0"/>
        <v>85.516967905815719</v>
      </c>
      <c r="J15" s="12" t="s">
        <v>24</v>
      </c>
      <c r="K15" s="12" t="s">
        <v>25</v>
      </c>
      <c r="L15" s="12" t="s">
        <v>26</v>
      </c>
      <c r="M15" s="13" t="s">
        <v>27</v>
      </c>
      <c r="X15" s="32" t="s">
        <v>104</v>
      </c>
      <c r="Y15" s="43" t="s">
        <v>58</v>
      </c>
      <c r="Z15" s="31">
        <v>11</v>
      </c>
      <c r="AA15" s="43"/>
      <c r="AB15" s="43"/>
      <c r="AC15" s="43"/>
      <c r="AD15" s="43"/>
      <c r="AE15" s="27"/>
    </row>
    <row r="16" spans="1:31" ht="15" customHeight="1">
      <c r="A16" s="2">
        <v>12</v>
      </c>
      <c r="B16" s="5">
        <f t="shared" si="0"/>
        <v>89.792816301106512</v>
      </c>
      <c r="J16" s="12" t="s">
        <v>28</v>
      </c>
      <c r="K16" s="14">
        <v>1</v>
      </c>
      <c r="L16" s="14">
        <v>0.4</v>
      </c>
      <c r="M16" s="14">
        <f>L16*K16</f>
        <v>0.4</v>
      </c>
      <c r="X16" s="32" t="s">
        <v>92</v>
      </c>
      <c r="Y16" s="43" t="s">
        <v>58</v>
      </c>
      <c r="Z16" s="43">
        <v>10</v>
      </c>
      <c r="AA16" s="43"/>
      <c r="AB16" s="43"/>
      <c r="AC16" s="43"/>
      <c r="AD16" s="43"/>
      <c r="AE16" s="27"/>
    </row>
    <row r="17" spans="1:31">
      <c r="A17" s="2">
        <v>13</v>
      </c>
      <c r="B17" s="5">
        <f t="shared" si="0"/>
        <v>94.282457116161837</v>
      </c>
      <c r="J17" s="12" t="s">
        <v>29</v>
      </c>
      <c r="K17" s="14">
        <v>1</v>
      </c>
      <c r="L17" s="14">
        <v>6.4</v>
      </c>
      <c r="M17" s="14">
        <f t="shared" ref="M17:M19" si="1">L17*K17</f>
        <v>6.4</v>
      </c>
      <c r="X17" s="32" t="s">
        <v>102</v>
      </c>
      <c r="Y17" s="43" t="s">
        <v>58</v>
      </c>
      <c r="Z17" s="31">
        <v>4</v>
      </c>
      <c r="AA17" s="43"/>
      <c r="AB17" s="43"/>
      <c r="AC17" s="43"/>
      <c r="AD17" s="43"/>
      <c r="AE17" s="27"/>
    </row>
    <row r="18" spans="1:31">
      <c r="A18" s="2">
        <v>14</v>
      </c>
      <c r="B18" s="5">
        <f t="shared" si="0"/>
        <v>98.996579971969936</v>
      </c>
      <c r="J18" s="12" t="s">
        <v>30</v>
      </c>
      <c r="K18" s="14">
        <v>4</v>
      </c>
      <c r="L18" s="14">
        <v>1.1000000000000001</v>
      </c>
      <c r="M18" s="14">
        <f t="shared" si="1"/>
        <v>4.4000000000000004</v>
      </c>
      <c r="X18" s="30" t="s">
        <v>103</v>
      </c>
      <c r="Y18" s="43" t="s">
        <v>58</v>
      </c>
      <c r="Z18" s="31">
        <v>6</v>
      </c>
      <c r="AA18" s="43"/>
      <c r="AB18" s="43"/>
      <c r="AC18" s="43"/>
      <c r="AD18" s="43"/>
      <c r="AE18" s="27"/>
    </row>
    <row r="19" spans="1:31">
      <c r="A19" s="2">
        <v>15</v>
      </c>
      <c r="B19" s="5">
        <f t="shared" si="0"/>
        <v>103.94640897056844</v>
      </c>
      <c r="J19" s="12" t="s">
        <v>31</v>
      </c>
      <c r="K19" s="14">
        <v>5</v>
      </c>
      <c r="L19" s="14">
        <v>0.4</v>
      </c>
      <c r="M19" s="14">
        <f t="shared" si="1"/>
        <v>2</v>
      </c>
      <c r="X19" s="33" t="s">
        <v>62</v>
      </c>
      <c r="Y19" s="43" t="s">
        <v>58</v>
      </c>
      <c r="Z19" s="34">
        <v>1</v>
      </c>
      <c r="AA19" s="43"/>
      <c r="AB19" s="43"/>
      <c r="AC19" s="43"/>
      <c r="AD19" s="43"/>
      <c r="AE19" s="27"/>
    </row>
    <row r="20" spans="1:31">
      <c r="A20" s="2">
        <v>16</v>
      </c>
      <c r="B20" s="5">
        <f t="shared" si="0"/>
        <v>109.14372941909687</v>
      </c>
      <c r="J20" s="15"/>
      <c r="K20" s="16"/>
      <c r="L20" s="14"/>
      <c r="M20" s="14"/>
      <c r="X20" s="46" t="s">
        <v>63</v>
      </c>
      <c r="Y20" s="43" t="s">
        <v>58</v>
      </c>
      <c r="Z20" s="34">
        <v>2</v>
      </c>
      <c r="AA20" s="43"/>
      <c r="AB20" s="43"/>
      <c r="AC20" s="43"/>
      <c r="AD20" s="43"/>
      <c r="AE20" s="27"/>
    </row>
    <row r="21" spans="1:31">
      <c r="A21" s="2">
        <v>17</v>
      </c>
      <c r="B21" s="5">
        <f t="shared" si="0"/>
        <v>114.60091589005172</v>
      </c>
      <c r="L21" s="17" t="s">
        <v>32</v>
      </c>
      <c r="M21" s="25">
        <f>SUM(M16:M20)</f>
        <v>13.200000000000001</v>
      </c>
      <c r="X21" s="46" t="s">
        <v>93</v>
      </c>
      <c r="Y21" s="46" t="s">
        <v>58</v>
      </c>
      <c r="Z21" s="34">
        <v>1</v>
      </c>
      <c r="AA21" s="43"/>
      <c r="AB21" s="43"/>
      <c r="AC21" s="43"/>
      <c r="AD21" s="43"/>
      <c r="AE21" s="27"/>
    </row>
    <row r="22" spans="1:31" ht="15.75">
      <c r="A22" s="2">
        <v>18</v>
      </c>
      <c r="B22" s="5">
        <f t="shared" si="0"/>
        <v>120.33096168455431</v>
      </c>
      <c r="X22" s="45" t="s">
        <v>86</v>
      </c>
      <c r="Y22" s="45"/>
      <c r="Z22" s="45"/>
      <c r="AA22" s="43"/>
      <c r="AB22" s="43"/>
      <c r="AC22" s="43"/>
      <c r="AD22" s="43"/>
      <c r="AE22" s="27"/>
    </row>
    <row r="23" spans="1:31">
      <c r="A23" s="2">
        <v>19</v>
      </c>
      <c r="B23" s="5">
        <f t="shared" si="0"/>
        <v>126.34750976878203</v>
      </c>
      <c r="X23" s="43" t="s">
        <v>56</v>
      </c>
      <c r="Y23" s="43" t="s">
        <v>57</v>
      </c>
      <c r="Z23" s="43" t="s">
        <v>25</v>
      </c>
      <c r="AA23" s="43"/>
      <c r="AB23" s="43"/>
      <c r="AC23" s="43"/>
      <c r="AD23" s="43"/>
      <c r="AE23" s="27"/>
    </row>
    <row r="24" spans="1:31">
      <c r="A24" s="18">
        <v>20</v>
      </c>
      <c r="B24" s="19">
        <f t="shared" si="0"/>
        <v>132.66488525722113</v>
      </c>
      <c r="X24" s="43"/>
      <c r="Y24" s="43"/>
      <c r="Z24" s="43"/>
      <c r="AA24" s="43"/>
      <c r="AB24" s="43"/>
      <c r="AC24" s="43"/>
      <c r="AD24" s="43"/>
      <c r="AE24" s="27"/>
    </row>
    <row r="25" spans="1:31">
      <c r="X25" s="43" t="s">
        <v>64</v>
      </c>
      <c r="Y25" s="43" t="s">
        <v>65</v>
      </c>
      <c r="Z25" s="43">
        <v>90</v>
      </c>
      <c r="AA25" s="43"/>
      <c r="AB25" s="43"/>
      <c r="AC25" s="43"/>
      <c r="AD25" s="43"/>
      <c r="AE25" s="27"/>
    </row>
    <row r="26" spans="1:31">
      <c r="X26" s="43" t="s">
        <v>66</v>
      </c>
      <c r="Y26" s="43" t="s">
        <v>67</v>
      </c>
      <c r="Z26" s="43">
        <v>8</v>
      </c>
      <c r="AA26" s="43"/>
      <c r="AB26" s="43"/>
      <c r="AC26" s="43"/>
      <c r="AD26" s="43"/>
      <c r="AE26" s="27"/>
    </row>
    <row r="27" spans="1:31">
      <c r="J27" s="25" t="s">
        <v>33</v>
      </c>
      <c r="N27" s="7">
        <f>H8/1000</f>
        <v>6.4489874777815827E-4</v>
      </c>
      <c r="X27" s="43" t="s">
        <v>68</v>
      </c>
      <c r="Y27" s="43" t="s">
        <v>69</v>
      </c>
      <c r="Z27" s="43">
        <v>380</v>
      </c>
      <c r="AA27" s="43"/>
      <c r="AB27" s="43"/>
      <c r="AC27" s="43"/>
      <c r="AD27" s="43"/>
      <c r="AE27" s="27"/>
    </row>
    <row r="28" spans="1:31">
      <c r="J28" s="53" t="s">
        <v>34</v>
      </c>
      <c r="K28" s="53"/>
      <c r="L28" s="53"/>
      <c r="N28" s="7">
        <v>140</v>
      </c>
      <c r="X28" s="43" t="s">
        <v>70</v>
      </c>
      <c r="Y28" s="43" t="s">
        <v>71</v>
      </c>
      <c r="Z28" s="43">
        <v>450</v>
      </c>
      <c r="AA28" s="43"/>
      <c r="AB28" s="43"/>
      <c r="AC28" s="43"/>
      <c r="AD28" s="43"/>
      <c r="AE28" s="27"/>
    </row>
    <row r="29" spans="1:31">
      <c r="J29" s="25" t="s">
        <v>35</v>
      </c>
      <c r="N29" s="25">
        <v>0.05</v>
      </c>
      <c r="X29" s="43" t="s">
        <v>72</v>
      </c>
      <c r="Y29" s="43" t="s">
        <v>71</v>
      </c>
      <c r="Z29" s="43">
        <v>450</v>
      </c>
      <c r="AA29" s="43"/>
      <c r="AB29" s="43"/>
      <c r="AC29" s="43"/>
      <c r="AD29" s="43"/>
      <c r="AE29" s="27"/>
    </row>
    <row r="30" spans="1:31">
      <c r="J30" s="54" t="s">
        <v>36</v>
      </c>
      <c r="K30" s="54"/>
      <c r="N30" s="25">
        <f>M21</f>
        <v>13.200000000000001</v>
      </c>
      <c r="X30" s="43" t="s">
        <v>73</v>
      </c>
      <c r="Y30" s="43" t="s">
        <v>69</v>
      </c>
      <c r="Z30" s="43">
        <v>10</v>
      </c>
      <c r="AA30" s="43"/>
      <c r="AB30" s="43"/>
      <c r="AC30" s="43"/>
      <c r="AD30" s="43"/>
      <c r="AE30" s="27">
        <f>0.8*0.6</f>
        <v>0.48</v>
      </c>
    </row>
    <row r="31" spans="1:31">
      <c r="J31" s="54" t="s">
        <v>37</v>
      </c>
      <c r="K31" s="54"/>
      <c r="N31" s="25">
        <f>10.643*((N27/N28)^1.852)*(N30/(N29^4.87))</f>
        <v>3.982935472735516E-2</v>
      </c>
      <c r="X31" s="43" t="s">
        <v>74</v>
      </c>
      <c r="Y31" s="43" t="s">
        <v>67</v>
      </c>
      <c r="Z31" s="43">
        <v>140</v>
      </c>
      <c r="AA31" s="43"/>
      <c r="AB31" s="43"/>
      <c r="AC31" s="43"/>
      <c r="AD31" s="43"/>
      <c r="AE31" s="27"/>
    </row>
    <row r="32" spans="1:31" ht="15.75">
      <c r="X32" s="44" t="s">
        <v>75</v>
      </c>
      <c r="Y32" s="36"/>
      <c r="Z32" s="36"/>
      <c r="AA32" s="43"/>
      <c r="AB32" s="43"/>
      <c r="AC32" s="43">
        <f>0.8*0.6</f>
        <v>0.48</v>
      </c>
      <c r="AD32" s="43"/>
      <c r="AE32" s="27"/>
    </row>
    <row r="33" spans="10:31">
      <c r="X33" s="43"/>
      <c r="Y33" s="43" t="s">
        <v>57</v>
      </c>
      <c r="Z33" s="43" t="s">
        <v>25</v>
      </c>
      <c r="AA33" s="43"/>
      <c r="AB33" s="43"/>
      <c r="AC33" s="43"/>
      <c r="AD33" s="43"/>
      <c r="AE33" s="27"/>
    </row>
    <row r="34" spans="10:31" ht="15.75">
      <c r="J34" s="52" t="s">
        <v>38</v>
      </c>
      <c r="K34" s="52"/>
      <c r="L34" s="52"/>
      <c r="X34" s="37" t="s">
        <v>76</v>
      </c>
      <c r="Y34" s="43" t="s">
        <v>16</v>
      </c>
      <c r="Z34" s="43">
        <f>Z11</f>
        <v>5355</v>
      </c>
      <c r="AA34" s="43">
        <f>SUM(Z34:Z36)</f>
        <v>6487</v>
      </c>
      <c r="AB34" s="43"/>
      <c r="AC34" s="43"/>
      <c r="AD34" s="43"/>
      <c r="AE34" s="27"/>
    </row>
    <row r="35" spans="10:31">
      <c r="X35" s="38" t="s">
        <v>89</v>
      </c>
      <c r="Y35" s="43" t="s">
        <v>16</v>
      </c>
      <c r="Z35" s="43">
        <f>Z12</f>
        <v>883</v>
      </c>
      <c r="AA35" s="43"/>
      <c r="AB35" s="43">
        <f>0.75*AA34</f>
        <v>4865.25</v>
      </c>
      <c r="AC35" s="43"/>
      <c r="AD35" s="43"/>
      <c r="AE35" s="27"/>
    </row>
    <row r="36" spans="10:31">
      <c r="X36" s="38" t="s">
        <v>77</v>
      </c>
      <c r="Y36" s="43" t="s">
        <v>16</v>
      </c>
      <c r="Z36" s="43">
        <f>Z13</f>
        <v>249</v>
      </c>
      <c r="AA36" s="43"/>
      <c r="AB36" s="43">
        <f>0.2*AA34</f>
        <v>1297.4000000000001</v>
      </c>
      <c r="AC36" s="43"/>
      <c r="AD36" s="43"/>
      <c r="AE36" s="27"/>
    </row>
    <row r="37" spans="10:31" ht="30">
      <c r="X37" s="35" t="s">
        <v>78</v>
      </c>
      <c r="Y37" s="35" t="s">
        <v>67</v>
      </c>
      <c r="Z37" s="43">
        <f>AB35*AC32</f>
        <v>2335.3199999999997</v>
      </c>
      <c r="AA37" s="43"/>
      <c r="AB37" s="43">
        <f>0.05*AA34</f>
        <v>324.35000000000002</v>
      </c>
      <c r="AC37" s="43"/>
      <c r="AD37" s="43"/>
      <c r="AE37" s="27"/>
    </row>
    <row r="38" spans="10:31">
      <c r="X38" s="43" t="s">
        <v>79</v>
      </c>
      <c r="Y38" s="35" t="s">
        <v>67</v>
      </c>
      <c r="Z38" s="43">
        <f>AB36*AC32</f>
        <v>622.75200000000007</v>
      </c>
      <c r="AA38" s="43"/>
      <c r="AB38" s="43"/>
      <c r="AC38" s="43"/>
      <c r="AD38" s="43"/>
      <c r="AE38" s="27"/>
    </row>
    <row r="39" spans="10:31">
      <c r="X39" s="43" t="s">
        <v>80</v>
      </c>
      <c r="Y39" s="35" t="s">
        <v>67</v>
      </c>
      <c r="Z39" s="43">
        <f>AB37*AC32</f>
        <v>155.68800000000002</v>
      </c>
      <c r="AA39" s="43"/>
      <c r="AB39" s="43"/>
      <c r="AC39" s="43"/>
      <c r="AD39" s="43"/>
      <c r="AE39" s="27"/>
    </row>
    <row r="40" spans="10:31" ht="45">
      <c r="X40" s="39" t="s">
        <v>81</v>
      </c>
      <c r="Y40" s="43" t="s">
        <v>58</v>
      </c>
      <c r="Z40" s="43">
        <v>1</v>
      </c>
      <c r="AA40" s="43"/>
      <c r="AB40" s="43"/>
      <c r="AC40" s="43"/>
      <c r="AD40" s="43"/>
    </row>
    <row r="41" spans="10:31">
      <c r="X41" s="43" t="s">
        <v>82</v>
      </c>
      <c r="Y41" s="43" t="s">
        <v>83</v>
      </c>
      <c r="Z41" s="43">
        <v>300</v>
      </c>
      <c r="AA41" s="43"/>
      <c r="AB41" s="43"/>
      <c r="AC41" s="43"/>
      <c r="AD41" s="43"/>
    </row>
    <row r="42" spans="10:31">
      <c r="K42" s="25" t="s">
        <v>39</v>
      </c>
      <c r="L42" s="25">
        <f>((10.643*((N27/N28)^1.852))/N8)^(1/4.87)</f>
        <v>3.2029816985361538E-2</v>
      </c>
      <c r="M42" s="25" t="s">
        <v>16</v>
      </c>
      <c r="X42" s="43" t="s">
        <v>84</v>
      </c>
      <c r="Y42" s="43" t="s">
        <v>83</v>
      </c>
      <c r="Z42" s="43">
        <v>90</v>
      </c>
      <c r="AA42" s="43"/>
      <c r="AB42" s="43"/>
      <c r="AC42" s="43"/>
      <c r="AD42" s="43"/>
    </row>
    <row r="43" spans="10:31">
      <c r="X43" s="43" t="s">
        <v>85</v>
      </c>
      <c r="Y43" s="43" t="s">
        <v>83</v>
      </c>
      <c r="Z43" s="43">
        <v>400</v>
      </c>
      <c r="AA43" s="43"/>
      <c r="AB43" s="43"/>
      <c r="AC43" s="43"/>
      <c r="AD43" s="43"/>
    </row>
    <row r="45" spans="10:31">
      <c r="J45" s="47" t="s">
        <v>40</v>
      </c>
      <c r="K45" s="47"/>
      <c r="L45" s="47"/>
      <c r="M45" s="47"/>
      <c r="N45" s="47"/>
    </row>
    <row r="46" spans="10:31">
      <c r="J46" s="47"/>
      <c r="K46" s="47"/>
      <c r="L46" s="47"/>
      <c r="M46" s="47"/>
      <c r="N46" s="47"/>
    </row>
    <row r="47" spans="10:31">
      <c r="J47" s="47"/>
      <c r="K47" s="47"/>
      <c r="L47" s="47"/>
      <c r="M47" s="47"/>
      <c r="N47" s="47"/>
    </row>
    <row r="50" spans="10:14">
      <c r="J50" s="48" t="s">
        <v>41</v>
      </c>
      <c r="K50" s="48"/>
      <c r="L50" s="48"/>
      <c r="M50" s="48"/>
      <c r="N50" s="48"/>
    </row>
    <row r="51" spans="10:14" ht="15.75">
      <c r="J51" s="20"/>
    </row>
    <row r="52" spans="10:14" ht="15.75">
      <c r="J52" s="20"/>
    </row>
    <row r="53" spans="10:14" ht="15.75">
      <c r="J53" s="20"/>
    </row>
    <row r="54" spans="10:14" ht="18">
      <c r="J54" s="21" t="s">
        <v>42</v>
      </c>
    </row>
    <row r="55" spans="10:14" ht="15.75">
      <c r="J55" s="20"/>
    </row>
    <row r="56" spans="10:14">
      <c r="J56" s="22" t="s">
        <v>43</v>
      </c>
    </row>
    <row r="57" spans="10:14">
      <c r="J57" s="22" t="s">
        <v>44</v>
      </c>
    </row>
    <row r="58" spans="10:14">
      <c r="J58" s="49" t="s">
        <v>45</v>
      </c>
      <c r="K58" s="49"/>
      <c r="L58" s="49"/>
      <c r="M58" s="49"/>
      <c r="N58" s="49"/>
    </row>
    <row r="59" spans="10:14">
      <c r="J59" s="50" t="s">
        <v>46</v>
      </c>
      <c r="K59" s="50"/>
      <c r="L59" s="50"/>
      <c r="M59" s="50"/>
      <c r="N59" s="50"/>
    </row>
    <row r="60" spans="10:14">
      <c r="J60" s="23"/>
      <c r="K60" s="23"/>
      <c r="L60" s="23"/>
      <c r="M60" s="23"/>
      <c r="N60" s="23"/>
    </row>
    <row r="61" spans="10:14">
      <c r="K61" s="24" t="s">
        <v>47</v>
      </c>
      <c r="L61" s="24">
        <v>0.5</v>
      </c>
      <c r="M61" s="24"/>
      <c r="N61" s="24"/>
    </row>
    <row r="62" spans="10:14">
      <c r="K62" s="25" t="s">
        <v>48</v>
      </c>
      <c r="L62" s="25">
        <v>1.2</v>
      </c>
    </row>
    <row r="63" spans="10:14">
      <c r="K63" s="25" t="s">
        <v>39</v>
      </c>
      <c r="L63" s="25">
        <f>L61^(1/4)*L62*(N27^0.5)</f>
        <v>2.5625332777058991E-2</v>
      </c>
    </row>
  </sheetData>
  <mergeCells count="23">
    <mergeCell ref="J10:L10"/>
    <mergeCell ref="R10:T10"/>
    <mergeCell ref="A1:C1"/>
    <mergeCell ref="E1:H1"/>
    <mergeCell ref="J1:O1"/>
    <mergeCell ref="R1:U1"/>
    <mergeCell ref="A2:B2"/>
    <mergeCell ref="J3:N3"/>
    <mergeCell ref="R7:T7"/>
    <mergeCell ref="J8:L8"/>
    <mergeCell ref="R8:U8"/>
    <mergeCell ref="J9:M9"/>
    <mergeCell ref="R9:S9"/>
    <mergeCell ref="J45:N47"/>
    <mergeCell ref="J50:N50"/>
    <mergeCell ref="J58:N58"/>
    <mergeCell ref="J59:N59"/>
    <mergeCell ref="R11:T11"/>
    <mergeCell ref="J13:P13"/>
    <mergeCell ref="J28:L28"/>
    <mergeCell ref="J30:K30"/>
    <mergeCell ref="J31:K31"/>
    <mergeCell ref="J34:L34"/>
  </mergeCells>
  <pageMargins left="0.511811024" right="0.511811024" top="0.78740157499999996" bottom="0.78740157499999996" header="0.31496062000000002" footer="0.31496062000000002"/>
  <drawing r:id="rId1"/>
  <legacyDrawing r:id="rId2"/>
  <oleObjects>
    <oleObject progId="Equation.3" shapeId="5121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Boqueirão</vt:lpstr>
      <vt:lpstr>Brutia</vt:lpstr>
      <vt:lpstr>Pintado</vt:lpstr>
      <vt:lpstr>Assa Peixe </vt:lpstr>
      <vt:lpstr>Carrapicho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2012-09-14T00:44:08Z</dcterms:created>
  <dcterms:modified xsi:type="dcterms:W3CDTF">2012-10-10T17:51:53Z</dcterms:modified>
</cp:coreProperties>
</file>