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20550" windowHeight="8115" activeTab="1"/>
  </bookViews>
  <sheets>
    <sheet name="Cabeceira da Prata" sheetId="2" r:id="rId1"/>
    <sheet name="Lages" sheetId="3" r:id="rId2"/>
  </sheets>
  <calcPr calcId="124519"/>
</workbook>
</file>

<file path=xl/calcChain.xml><?xml version="1.0" encoding="utf-8"?>
<calcChain xmlns="http://schemas.openxmlformats.org/spreadsheetml/2006/main">
  <c r="D12" i="2"/>
  <c r="S12"/>
  <c r="S12" i="3"/>
  <c r="Z36" i="2"/>
  <c r="Z35"/>
  <c r="AA35" s="1"/>
  <c r="Z34"/>
  <c r="AD35" i="3"/>
  <c r="AD33"/>
  <c r="AB35"/>
  <c r="AC32" l="1"/>
  <c r="AB33" s="1"/>
  <c r="AC33" i="2"/>
  <c r="F18"/>
  <c r="N27" i="3"/>
  <c r="H8"/>
  <c r="M19"/>
  <c r="M18"/>
  <c r="M17"/>
  <c r="M16"/>
  <c r="M21" s="1"/>
  <c r="N30" s="1"/>
  <c r="V8"/>
  <c r="N8"/>
  <c r="B5"/>
  <c r="B6" s="1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G7" s="1"/>
  <c r="H7" s="1"/>
  <c r="M17" i="2"/>
  <c r="M18"/>
  <c r="M19"/>
  <c r="M16"/>
  <c r="B5"/>
  <c r="B6" s="1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G7" s="1"/>
  <c r="H7" s="1"/>
  <c r="V8"/>
  <c r="N8"/>
  <c r="H8" l="1"/>
  <c r="N27" s="1"/>
  <c r="M21"/>
  <c r="N30" s="1"/>
  <c r="AB37"/>
  <c r="Z38" s="1"/>
  <c r="AB38"/>
  <c r="Z39" s="1"/>
  <c r="AB35"/>
  <c r="Z37" s="1"/>
  <c r="AD34" i="3"/>
  <c r="AB34" s="1"/>
  <c r="L42"/>
  <c r="L63"/>
  <c r="N31"/>
  <c r="P27" i="2" l="1"/>
  <c r="L63"/>
  <c r="N31"/>
  <c r="L42"/>
</calcChain>
</file>

<file path=xl/comments1.xml><?xml version="1.0" encoding="utf-8"?>
<comments xmlns="http://schemas.openxmlformats.org/spreadsheetml/2006/main">
  <authors>
    <author>Usuario</author>
  </authors>
  <commentList>
    <comment ref="E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Coeficiente do mês de maior consumo</t>
        </r>
      </text>
    </comment>
    <comment ref="F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Consumo per capta</t>
        </r>
      </text>
    </comment>
    <comment ref="G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População estimada para 20 anos</t>
        </r>
      </text>
    </comment>
    <comment ref="H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Vazão demandada</t>
        </r>
      </text>
    </comment>
  </commentList>
</comments>
</file>

<file path=xl/comments2.xml><?xml version="1.0" encoding="utf-8"?>
<comments xmlns="http://schemas.openxmlformats.org/spreadsheetml/2006/main">
  <authors>
    <author>Usuario</author>
  </authors>
  <commentList>
    <comment ref="E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Coeficiente do mês de maior consumo</t>
        </r>
      </text>
    </comment>
    <comment ref="F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Consumo per capta</t>
        </r>
      </text>
    </comment>
    <comment ref="G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População estimada para 20 anos</t>
        </r>
      </text>
    </comment>
    <comment ref="H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Vazão demandada</t>
        </r>
      </text>
    </comment>
  </commentList>
</comments>
</file>

<file path=xl/sharedStrings.xml><?xml version="1.0" encoding="utf-8"?>
<sst xmlns="http://schemas.openxmlformats.org/spreadsheetml/2006/main" count="247" uniqueCount="97">
  <si>
    <t>Ano</t>
  </si>
  <si>
    <t>População</t>
  </si>
  <si>
    <t>Previsão da população</t>
  </si>
  <si>
    <t>Cálculo do Consumo Específico</t>
  </si>
  <si>
    <t>K1</t>
  </si>
  <si>
    <t>q</t>
  </si>
  <si>
    <t>P</t>
  </si>
  <si>
    <t>Q</t>
  </si>
  <si>
    <t>Dimensionamento de adutora de recalque simples</t>
  </si>
  <si>
    <t>Calculo de perda de carga unitária</t>
  </si>
  <si>
    <t>J= Perda de carga unitária</t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</si>
  <si>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h = Diferença de nivel do poço a caixa</t>
    </r>
  </si>
  <si>
    <t>L = Comprimento da adutora</t>
  </si>
  <si>
    <t>m/m</t>
  </si>
  <si>
    <t>m</t>
  </si>
  <si>
    <t>Calculo de Perda de carga localizada (comprimentos equivalentes)</t>
  </si>
  <si>
    <t>Peças</t>
  </si>
  <si>
    <t>Quantidade</t>
  </si>
  <si>
    <t>C. Eq. (m)</t>
  </si>
  <si>
    <t>Total</t>
  </si>
  <si>
    <t>Registro de gaveta</t>
  </si>
  <si>
    <t>Válvula de retenção</t>
  </si>
  <si>
    <t>Curva de 90º</t>
  </si>
  <si>
    <t>Curva de 45º</t>
  </si>
  <si>
    <t>∑</t>
  </si>
  <si>
    <t>C = Coeficiente de rugosidade da tubulação</t>
  </si>
  <si>
    <t>D = diametro da tubulação (m)</t>
  </si>
  <si>
    <t>Q = Vazão (m3/s)</t>
  </si>
  <si>
    <t>L = Comprimento equivalente (m)</t>
  </si>
  <si>
    <t>J loc = perda de carga localizada</t>
  </si>
  <si>
    <t>Calculo do diametro da adutora</t>
  </si>
  <si>
    <t>D =</t>
  </si>
  <si>
    <t>Dimensionamento de Encanamento de recalque em razão da quantidade de horas que o equipamento estará em uso</t>
  </si>
  <si>
    <t>Com o auxílio da equação de Bresse modificada:</t>
  </si>
  <si>
    <t xml:space="preserve"> </t>
  </si>
  <si>
    <t>K = 1,2;</t>
  </si>
  <si>
    <t>Q = vazão em m³/s.</t>
  </si>
  <si>
    <t>n= nº de horas que o sistema estará em funcionamento, no nosso caso o sistema de abastecimento com conveniência está funcionando das 18 às 06h, ou seja, na razão de doze horas por dia.</t>
  </si>
  <si>
    <t>Q=vazão necessária para atendimento da população e dos empreendimentos locais, onde usaremos Q=0,002785 m³/s</t>
  </si>
  <si>
    <t>B =  12/24</t>
  </si>
  <si>
    <t xml:space="preserve">K = </t>
  </si>
  <si>
    <t>Dimensionamento da Bomba</t>
  </si>
  <si>
    <t>P = potencia da Bomba</t>
  </si>
  <si>
    <r>
      <rPr>
        <sz val="11"/>
        <color theme="1"/>
        <rFont val="Symbol"/>
        <family val="1"/>
        <charset val="2"/>
      </rPr>
      <t xml:space="preserve">g = </t>
    </r>
    <r>
      <rPr>
        <sz val="11"/>
        <color theme="1"/>
        <rFont val="Calibri"/>
        <family val="2"/>
        <scheme val="minor"/>
      </rPr>
      <t>densidade espacifica da água</t>
    </r>
  </si>
  <si>
    <t>Q = vazão requerida</t>
  </si>
  <si>
    <t>Hm = Altura manometrica</t>
  </si>
  <si>
    <t>p =</t>
  </si>
  <si>
    <t>CV</t>
  </si>
  <si>
    <r>
      <rPr>
        <sz val="11"/>
        <color theme="1"/>
        <rFont val="Symbol"/>
        <family val="1"/>
        <charset val="2"/>
      </rPr>
      <t>h</t>
    </r>
    <r>
      <rPr>
        <sz val="11"/>
        <color theme="1"/>
        <rFont val="Calibri"/>
        <family val="2"/>
      </rPr>
      <t xml:space="preserve"> = rendimento da bomba</t>
    </r>
  </si>
  <si>
    <t>Cabeceira da Prata</t>
  </si>
  <si>
    <t>Lages</t>
  </si>
  <si>
    <t>Material</t>
  </si>
  <si>
    <t>Cimento</t>
  </si>
  <si>
    <t>Areia lavada</t>
  </si>
  <si>
    <t>Tela hexagonal 1/2"-fio 24</t>
  </si>
  <si>
    <t>Arame recozido</t>
  </si>
  <si>
    <t>Cimbramento em pontaletes de madeira</t>
  </si>
  <si>
    <t>Unidade</t>
  </si>
  <si>
    <t>und</t>
  </si>
  <si>
    <t>Sc</t>
  </si>
  <si>
    <t>m³</t>
  </si>
  <si>
    <t>Kg</t>
  </si>
  <si>
    <t>m²</t>
  </si>
  <si>
    <t>INSUMOS</t>
  </si>
  <si>
    <t>Material adutora e distribuição</t>
  </si>
  <si>
    <t>SERVIÇOS</t>
  </si>
  <si>
    <t>Assentamento de tubos e conexões de PVC JE DN 50</t>
  </si>
  <si>
    <t>Assentamento de tubos e conexões PVC JS DN 25 mm</t>
  </si>
  <si>
    <t xml:space="preserve">Pedreiro </t>
  </si>
  <si>
    <t>Armador</t>
  </si>
  <si>
    <t>Servente</t>
  </si>
  <si>
    <t>h</t>
  </si>
  <si>
    <t>Escavação manual em solo profundidade até 1,50 m (1x 0,8x0,6) 20%</t>
  </si>
  <si>
    <t>Q 92 - TELA EM ACO SOLDADA - MALHA 15 x 15 cm - FIO ∅ 4,2 mm</t>
  </si>
  <si>
    <t>Reservatórios: 1 Caixas d'água de ferrocimento(50 m³)</t>
  </si>
  <si>
    <t>Tubo BPA 50 mm classe 12</t>
  </si>
  <si>
    <t xml:space="preserve">Tubo PVC 25 mm Classe 12 </t>
  </si>
  <si>
    <t>Motobomba submersivel 1 Cv Monofásica</t>
  </si>
  <si>
    <t>Montagem e instalação de poço tubular profundo, diâmetro da tubulação de extração de 4", profundidade de instalação da bomba entre 60 m a 120 m</t>
  </si>
  <si>
    <t>Bomba submersa</t>
  </si>
  <si>
    <t>(m3/h)</t>
  </si>
  <si>
    <t>Escavação e carga mecânica de valas, rocha branda, à frio 5%</t>
  </si>
  <si>
    <t>Assentamento de tubos e conexões PVC JS DN 32 mm</t>
  </si>
  <si>
    <t>Escavação mecânica de valas (solo seco), profundidade até 1,50 m (1x 0,8x0,6) 75%</t>
  </si>
  <si>
    <t>Reservatórios: 2 Caixas d'água de ferrocimento (50 m³)</t>
  </si>
  <si>
    <t>Conexão T PBA 50 mm</t>
  </si>
  <si>
    <t>Tubo PBA 50 mm classe 15</t>
  </si>
  <si>
    <t xml:space="preserve">Tubo PVC 32 mm Classe 15 </t>
  </si>
  <si>
    <t xml:space="preserve">Tubo PVC 25 mm Classe 15 </t>
  </si>
  <si>
    <t>Adaptador PVC BSA PBA x PTA FOFO 50 mm</t>
  </si>
  <si>
    <t>CAP 50 mm</t>
  </si>
  <si>
    <t>Flange 50 mm</t>
  </si>
  <si>
    <t>Curva de 90º PBA</t>
  </si>
  <si>
    <t>Curva de 45º PBA</t>
  </si>
  <si>
    <t>Bucha c/ redução 50 x 25 PVC</t>
  </si>
  <si>
    <t>Bucha c/ redução 32 x 25 PVC</t>
  </si>
  <si>
    <t>Cruzeta PBA 50 mm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</si>
</sst>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Symbol"/>
      <family val="1"/>
      <charset val="2"/>
    </font>
    <font>
      <sz val="12"/>
      <color theme="1"/>
      <name val="Arial"/>
      <family val="2"/>
    </font>
    <font>
      <sz val="11"/>
      <color theme="1"/>
      <name val="Calibri"/>
      <family val="2"/>
    </font>
    <font>
      <sz val="14"/>
      <color theme="1"/>
      <name val="Arial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3" fontId="9" fillId="0" borderId="0"/>
  </cellStyleXfs>
  <cellXfs count="72">
    <xf numFmtId="0" fontId="0" fillId="0" borderId="0" xfId="0"/>
    <xf numFmtId="0" fontId="0" fillId="0" borderId="1" xfId="0" applyBorder="1"/>
    <xf numFmtId="0" fontId="0" fillId="0" borderId="0" xfId="0" applyBorder="1"/>
    <xf numFmtId="164" fontId="0" fillId="0" borderId="0" xfId="0" applyNumberFormat="1" applyBorder="1"/>
    <xf numFmtId="0" fontId="0" fillId="0" borderId="2" xfId="0" applyBorder="1"/>
    <xf numFmtId="0" fontId="1" fillId="0" borderId="4" xfId="0" applyFont="1" applyBorder="1" applyAlignment="1"/>
    <xf numFmtId="165" fontId="0" fillId="0" borderId="0" xfId="0" applyNumberFormat="1"/>
    <xf numFmtId="0" fontId="0" fillId="0" borderId="0" xfId="0" applyFont="1" applyBorder="1" applyAlignment="1">
      <alignment horizontal="justify" vertical="top" wrapText="1"/>
    </xf>
    <xf numFmtId="0" fontId="0" fillId="0" borderId="0" xfId="0" applyFont="1" applyBorder="1" applyAlignment="1">
      <alignment vertical="top" wrapText="1"/>
    </xf>
    <xf numFmtId="0" fontId="6" fillId="0" borderId="0" xfId="0" applyFont="1" applyAlignment="1">
      <alignment horizontal="right"/>
    </xf>
    <xf numFmtId="0" fontId="1" fillId="0" borderId="0" xfId="0" applyFont="1" applyAlignment="1"/>
    <xf numFmtId="0" fontId="5" fillId="0" borderId="0" xfId="0" applyFont="1" applyAlignment="1">
      <alignment horizontal="justify"/>
    </xf>
    <xf numFmtId="0" fontId="7" fillId="0" borderId="0" xfId="0" applyFont="1" applyAlignment="1">
      <alignment horizontal="justify"/>
    </xf>
    <xf numFmtId="0" fontId="0" fillId="0" borderId="0" xfId="0" applyFont="1" applyAlignment="1">
      <alignment horizontal="justify"/>
    </xf>
    <xf numFmtId="0" fontId="5" fillId="0" borderId="0" xfId="0" applyFont="1" applyAlignment="1">
      <alignment vertical="top"/>
    </xf>
    <xf numFmtId="0" fontId="0" fillId="0" borderId="0" xfId="0" applyAlignment="1">
      <alignment vertical="top"/>
    </xf>
    <xf numFmtId="9" fontId="0" fillId="0" borderId="0" xfId="0" applyNumberFormat="1"/>
    <xf numFmtId="164" fontId="0" fillId="2" borderId="0" xfId="0" applyNumberFormat="1" applyFill="1" applyBorder="1"/>
    <xf numFmtId="0" fontId="0" fillId="0" borderId="0" xfId="0" applyFont="1" applyFill="1" applyBorder="1" applyAlignment="1">
      <alignment horizontal="justify" vertical="top" wrapText="1"/>
    </xf>
    <xf numFmtId="0" fontId="0" fillId="0" borderId="0" xfId="0" applyFont="1" applyBorder="1" applyAlignment="1">
      <alignment horizontal="center" vertical="top" wrapText="1"/>
    </xf>
    <xf numFmtId="0" fontId="0" fillId="0" borderId="0" xfId="0" applyFont="1" applyFill="1" applyBorder="1" applyAlignment="1">
      <alignment horizontal="center" vertical="top" wrapText="1"/>
    </xf>
    <xf numFmtId="0" fontId="0" fillId="2" borderId="0" xfId="0" applyFill="1"/>
    <xf numFmtId="0" fontId="0" fillId="0" borderId="0" xfId="0" applyFill="1"/>
    <xf numFmtId="164" fontId="0" fillId="0" borderId="0" xfId="0" applyNumberFormat="1" applyFill="1"/>
    <xf numFmtId="164" fontId="0" fillId="0" borderId="5" xfId="0" applyNumberFormat="1" applyBorder="1"/>
    <xf numFmtId="0" fontId="8" fillId="0" borderId="0" xfId="0" applyFont="1"/>
    <xf numFmtId="0" fontId="1" fillId="0" borderId="0" xfId="0" applyFont="1"/>
    <xf numFmtId="0" fontId="0" fillId="0" borderId="0" xfId="0"/>
    <xf numFmtId="0" fontId="8" fillId="0" borderId="0" xfId="0" applyFont="1" applyBorder="1" applyAlignment="1">
      <alignment horizontal="justify" vertical="top" wrapText="1"/>
    </xf>
    <xf numFmtId="0" fontId="8" fillId="0" borderId="0" xfId="0" applyFont="1" applyBorder="1" applyAlignment="1">
      <alignment horizontal="justify" wrapText="1"/>
    </xf>
    <xf numFmtId="0" fontId="0" fillId="0" borderId="0" xfId="0"/>
    <xf numFmtId="0" fontId="8" fillId="0" borderId="0" xfId="0" applyFont="1" applyBorder="1" applyAlignment="1">
      <alignment horizontal="right" vertical="top" wrapText="1"/>
    </xf>
    <xf numFmtId="0" fontId="0" fillId="0" borderId="0" xfId="0" applyAlignment="1">
      <alignment horizontal="left" wrapText="1"/>
    </xf>
    <xf numFmtId="3" fontId="0" fillId="0" borderId="0" xfId="0" applyNumberFormat="1" applyAlignment="1">
      <alignment horizontal="left" vertical="top" wrapText="1"/>
    </xf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0" xfId="0" applyAlignment="1">
      <alignment horizontal="left" wrapText="1"/>
    </xf>
    <xf numFmtId="0" fontId="8" fillId="0" borderId="0" xfId="0" applyFont="1" applyFill="1" applyBorder="1" applyAlignment="1">
      <alignment horizontal="justify" vertical="top" wrapText="1"/>
    </xf>
    <xf numFmtId="0" fontId="8" fillId="0" borderId="0" xfId="0" applyFont="1" applyFill="1" applyBorder="1" applyAlignment="1">
      <alignment horizontal="right" vertical="top" wrapText="1"/>
    </xf>
    <xf numFmtId="0" fontId="1" fillId="0" borderId="0" xfId="0" applyFont="1"/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3" fontId="10" fillId="0" borderId="0" xfId="1" applyFont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0" xfId="0" applyAlignment="1">
      <alignment vertical="top" wrapText="1"/>
    </xf>
    <xf numFmtId="0" fontId="6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/>
    <xf numFmtId="0" fontId="0" fillId="0" borderId="0" xfId="0"/>
    <xf numFmtId="0" fontId="1" fillId="0" borderId="0" xfId="0" applyFont="1" applyAlignment="1">
      <alignment horizontal="center" wrapText="1"/>
    </xf>
    <xf numFmtId="0" fontId="0" fillId="0" borderId="0" xfId="0" applyFont="1" applyAlignment="1"/>
    <xf numFmtId="0" fontId="0" fillId="0" borderId="0" xfId="0" applyAlignment="1">
      <alignment horizontal="justify" vertical="top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/>
    <xf numFmtId="0" fontId="0" fillId="0" borderId="1" xfId="0" applyBorder="1" applyAlignment="1">
      <alignment horizontal="center"/>
    </xf>
    <xf numFmtId="0" fontId="0" fillId="0" borderId="0" xfId="0" applyAlignment="1">
      <alignment wrapText="1"/>
    </xf>
    <xf numFmtId="0" fontId="0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3" fontId="10" fillId="0" borderId="0" xfId="1" applyFont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</cellXfs>
  <cellStyles count="2">
    <cellStyle name="Normal" xfId="0" builtinId="0"/>
    <cellStyle name="Normal_Estrutura_de_preços_-_CODEVASF_versão10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29100"/>
          <a:ext cx="1914525" cy="3810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686550"/>
          <a:ext cx="1657350" cy="7143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715500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6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9991725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7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29100"/>
          <a:ext cx="1914525" cy="3810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686550"/>
          <a:ext cx="1657350" cy="7143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705975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6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9982200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7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63"/>
  <sheetViews>
    <sheetView topLeftCell="Q3" workbookViewId="0">
      <selection activeCell="X19" sqref="X19"/>
    </sheetView>
  </sheetViews>
  <sheetFormatPr defaultRowHeight="15"/>
  <cols>
    <col min="1" max="1" width="9.140625" customWidth="1"/>
    <col min="10" max="10" width="18.85546875" bestFit="1" customWidth="1"/>
    <col min="11" max="11" width="11.5703125" customWidth="1"/>
    <col min="13" max="13" width="9.140625" customWidth="1"/>
    <col min="14" max="14" width="9.5703125" bestFit="1" customWidth="1"/>
    <col min="23" max="23" width="13.42578125" bestFit="1" customWidth="1"/>
    <col min="24" max="24" width="76.28515625" customWidth="1"/>
    <col min="25" max="25" width="8.42578125" bestFit="1" customWidth="1"/>
    <col min="26" max="26" width="14.5703125" customWidth="1"/>
    <col min="27" max="28" width="9" hidden="1" customWidth="1"/>
    <col min="29" max="29" width="0.140625" customWidth="1"/>
  </cols>
  <sheetData>
    <row r="1" spans="1:31" ht="15.75">
      <c r="A1" s="60" t="s">
        <v>2</v>
      </c>
      <c r="B1" s="61"/>
      <c r="C1" s="61"/>
      <c r="D1" s="5"/>
      <c r="E1" s="54" t="s">
        <v>3</v>
      </c>
      <c r="F1" s="54"/>
      <c r="G1" s="54"/>
      <c r="H1" s="62"/>
      <c r="J1" s="54" t="s">
        <v>8</v>
      </c>
      <c r="K1" s="54"/>
      <c r="L1" s="54"/>
      <c r="M1" s="54"/>
      <c r="N1" s="54"/>
      <c r="O1" s="54"/>
      <c r="R1" s="63" t="s">
        <v>41</v>
      </c>
      <c r="S1" s="63"/>
      <c r="T1" s="63"/>
      <c r="U1" s="63"/>
      <c r="X1" s="54" t="s">
        <v>63</v>
      </c>
      <c r="Y1" s="54"/>
      <c r="Z1" s="54"/>
    </row>
    <row r="2" spans="1:31" ht="15" customHeight="1">
      <c r="A2" s="64" t="s">
        <v>49</v>
      </c>
      <c r="B2" s="56"/>
    </row>
    <row r="3" spans="1:31" ht="15.75">
      <c r="A3" s="1" t="s">
        <v>0</v>
      </c>
      <c r="B3" s="2" t="s">
        <v>1</v>
      </c>
      <c r="J3" s="54" t="s">
        <v>9</v>
      </c>
      <c r="K3" s="54"/>
      <c r="L3" s="54"/>
      <c r="M3" s="54"/>
      <c r="N3" s="54"/>
      <c r="X3" s="26" t="s">
        <v>64</v>
      </c>
    </row>
    <row r="4" spans="1:31" ht="15" customHeight="1">
      <c r="A4" s="1">
        <v>0</v>
      </c>
      <c r="B4" s="3">
        <v>140</v>
      </c>
    </row>
    <row r="5" spans="1:31" ht="15" customHeight="1">
      <c r="A5" s="1">
        <v>1</v>
      </c>
      <c r="B5" s="3">
        <f>B4*1.05</f>
        <v>147</v>
      </c>
      <c r="X5" s="27" t="s">
        <v>51</v>
      </c>
      <c r="Y5" s="46" t="s">
        <v>57</v>
      </c>
      <c r="Z5" s="46" t="s">
        <v>17</v>
      </c>
    </row>
    <row r="6" spans="1:31" ht="15" customHeight="1">
      <c r="A6" s="1">
        <v>2</v>
      </c>
      <c r="B6" s="3">
        <f t="shared" ref="B6:B24" si="0">B5*1.05</f>
        <v>154.35</v>
      </c>
      <c r="E6" t="s">
        <v>4</v>
      </c>
      <c r="F6" t="s">
        <v>5</v>
      </c>
      <c r="G6" t="s">
        <v>6</v>
      </c>
      <c r="H6" t="s">
        <v>7</v>
      </c>
      <c r="X6" s="27"/>
      <c r="Y6" s="46"/>
      <c r="Z6" s="27"/>
    </row>
    <row r="7" spans="1:31">
      <c r="A7" s="1">
        <v>3</v>
      </c>
      <c r="B7" s="3">
        <f t="shared" si="0"/>
        <v>162.0675</v>
      </c>
      <c r="E7">
        <v>1.2</v>
      </c>
      <c r="F7">
        <v>200</v>
      </c>
      <c r="G7" s="23">
        <f>B24</f>
        <v>371.46167872021908</v>
      </c>
      <c r="H7" s="22">
        <f>(E7*F7*G7)/86400</f>
        <v>1.031837996445053</v>
      </c>
      <c r="R7" s="56" t="s">
        <v>42</v>
      </c>
      <c r="S7" s="56"/>
      <c r="T7" s="56"/>
      <c r="X7" s="27" t="s">
        <v>20</v>
      </c>
      <c r="Y7" s="46" t="s">
        <v>58</v>
      </c>
      <c r="Z7" s="27">
        <v>1</v>
      </c>
    </row>
    <row r="8" spans="1:31">
      <c r="A8" s="1">
        <v>4</v>
      </c>
      <c r="B8" s="3">
        <f t="shared" si="0"/>
        <v>170.170875</v>
      </c>
      <c r="H8">
        <f>H7*1.75</f>
        <v>1.8057164937788428</v>
      </c>
      <c r="J8" s="56" t="s">
        <v>10</v>
      </c>
      <c r="K8" s="56"/>
      <c r="L8" s="56"/>
      <c r="N8" s="6">
        <f>N9/N10</f>
        <v>8.388654194327097E-2</v>
      </c>
      <c r="O8" t="s">
        <v>13</v>
      </c>
      <c r="R8" s="56" t="s">
        <v>43</v>
      </c>
      <c r="S8" s="56"/>
      <c r="T8" s="56"/>
      <c r="U8" s="56"/>
      <c r="V8">
        <f xml:space="preserve"> 1000</f>
        <v>1000</v>
      </c>
      <c r="X8" s="27" t="s">
        <v>21</v>
      </c>
      <c r="Y8" s="46" t="s">
        <v>58</v>
      </c>
      <c r="Z8" s="27">
        <v>1</v>
      </c>
    </row>
    <row r="9" spans="1:31">
      <c r="A9" s="1">
        <v>5</v>
      </c>
      <c r="B9" s="3">
        <f t="shared" si="0"/>
        <v>178.67941875</v>
      </c>
      <c r="J9" s="56" t="s">
        <v>11</v>
      </c>
      <c r="K9" s="56"/>
      <c r="L9" s="56"/>
      <c r="M9" s="56"/>
      <c r="N9" s="21">
        <v>139</v>
      </c>
      <c r="O9" t="s">
        <v>14</v>
      </c>
      <c r="R9" s="56" t="s">
        <v>44</v>
      </c>
      <c r="S9" s="56"/>
      <c r="X9" s="51" t="s">
        <v>92</v>
      </c>
      <c r="Y9" s="46" t="s">
        <v>58</v>
      </c>
      <c r="Z9" s="27">
        <v>10</v>
      </c>
    </row>
    <row r="10" spans="1:31">
      <c r="A10" s="1">
        <v>6</v>
      </c>
      <c r="B10" s="3">
        <f t="shared" si="0"/>
        <v>187.61338968750002</v>
      </c>
      <c r="J10" s="56" t="s">
        <v>12</v>
      </c>
      <c r="K10" s="56"/>
      <c r="L10" s="56"/>
      <c r="N10" s="21">
        <v>1657</v>
      </c>
      <c r="O10" t="s">
        <v>14</v>
      </c>
      <c r="R10" s="56" t="s">
        <v>45</v>
      </c>
      <c r="S10" s="56"/>
      <c r="T10" s="56"/>
      <c r="X10" s="51" t="s">
        <v>93</v>
      </c>
      <c r="Y10" s="46" t="s">
        <v>58</v>
      </c>
      <c r="Z10" s="27">
        <v>15</v>
      </c>
    </row>
    <row r="11" spans="1:31">
      <c r="A11" s="1">
        <v>7</v>
      </c>
      <c r="B11" s="3">
        <f t="shared" si="0"/>
        <v>196.99405917187502</v>
      </c>
      <c r="R11" s="53" t="s">
        <v>48</v>
      </c>
      <c r="S11" s="53"/>
      <c r="T11" s="53"/>
      <c r="V11" s="16">
        <v>0.7</v>
      </c>
      <c r="X11" s="49" t="s">
        <v>86</v>
      </c>
      <c r="Y11" s="46" t="s">
        <v>14</v>
      </c>
      <c r="Z11" s="27">
        <v>15494</v>
      </c>
    </row>
    <row r="12" spans="1:31">
      <c r="A12" s="1">
        <v>8</v>
      </c>
      <c r="B12" s="3">
        <f t="shared" si="0"/>
        <v>206.84376213046878</v>
      </c>
      <c r="D12">
        <f>140/5</f>
        <v>28</v>
      </c>
      <c r="R12" t="s">
        <v>46</v>
      </c>
      <c r="S12">
        <f>V8*N27*(N9+M21)/(75*0.7)</f>
        <v>5.2348581019645692</v>
      </c>
      <c r="T12" t="s">
        <v>47</v>
      </c>
      <c r="X12" s="25" t="s">
        <v>87</v>
      </c>
      <c r="Y12" s="46" t="s">
        <v>14</v>
      </c>
      <c r="Z12" s="27">
        <v>1429</v>
      </c>
    </row>
    <row r="13" spans="1:31" ht="15.75">
      <c r="A13" s="1">
        <v>9</v>
      </c>
      <c r="B13" s="3">
        <f t="shared" si="0"/>
        <v>217.18595023699223</v>
      </c>
      <c r="J13" s="54" t="s">
        <v>15</v>
      </c>
      <c r="K13" s="54"/>
      <c r="L13" s="54"/>
      <c r="M13" s="54"/>
      <c r="N13" s="54"/>
      <c r="O13" s="54"/>
      <c r="P13" s="54"/>
      <c r="Q13" s="10"/>
      <c r="X13" s="25" t="s">
        <v>88</v>
      </c>
      <c r="Y13" s="46" t="s">
        <v>14</v>
      </c>
      <c r="Z13">
        <v>738</v>
      </c>
    </row>
    <row r="14" spans="1:31">
      <c r="A14" s="1">
        <v>10</v>
      </c>
      <c r="B14" s="3">
        <f t="shared" si="0"/>
        <v>228.04524774884186</v>
      </c>
      <c r="X14" s="28" t="s">
        <v>91</v>
      </c>
      <c r="Y14" s="46" t="s">
        <v>58</v>
      </c>
      <c r="Z14" s="31">
        <v>2</v>
      </c>
    </row>
    <row r="15" spans="1:31" ht="15" customHeight="1">
      <c r="A15" s="1">
        <v>11</v>
      </c>
      <c r="B15" s="3">
        <f t="shared" si="0"/>
        <v>239.44751013628397</v>
      </c>
      <c r="J15" s="7" t="s">
        <v>16</v>
      </c>
      <c r="K15" s="7" t="s">
        <v>17</v>
      </c>
      <c r="L15" s="7" t="s">
        <v>18</v>
      </c>
      <c r="M15" s="8" t="s">
        <v>19</v>
      </c>
      <c r="X15" s="29" t="s">
        <v>85</v>
      </c>
      <c r="Y15" s="46" t="s">
        <v>58</v>
      </c>
      <c r="Z15" s="31">
        <v>28</v>
      </c>
      <c r="AA15" s="41"/>
      <c r="AB15" s="41"/>
      <c r="AC15" s="41"/>
      <c r="AD15" s="41"/>
      <c r="AE15" s="41"/>
    </row>
    <row r="16" spans="1:31" ht="15" customHeight="1">
      <c r="A16" s="1">
        <v>12</v>
      </c>
      <c r="B16" s="3">
        <f t="shared" si="0"/>
        <v>251.41988564309818</v>
      </c>
      <c r="J16" s="7" t="s">
        <v>20</v>
      </c>
      <c r="K16" s="19">
        <v>1</v>
      </c>
      <c r="L16" s="19">
        <v>0.4</v>
      </c>
      <c r="M16" s="19">
        <f>L16*K16</f>
        <v>0.4</v>
      </c>
      <c r="X16" s="29" t="s">
        <v>89</v>
      </c>
      <c r="Y16" s="46" t="s">
        <v>58</v>
      </c>
      <c r="Z16" s="31">
        <v>11</v>
      </c>
      <c r="AA16" s="41"/>
      <c r="AB16" s="41"/>
      <c r="AC16" s="41"/>
      <c r="AD16" s="41"/>
      <c r="AE16" s="41"/>
    </row>
    <row r="17" spans="1:31">
      <c r="A17" s="1">
        <v>13</v>
      </c>
      <c r="B17" s="3">
        <f t="shared" si="0"/>
        <v>263.99087992525313</v>
      </c>
      <c r="F17">
        <v>0.05</v>
      </c>
      <c r="J17" s="7" t="s">
        <v>21</v>
      </c>
      <c r="K17" s="19">
        <v>1</v>
      </c>
      <c r="L17" s="19">
        <v>6.4</v>
      </c>
      <c r="M17" s="19">
        <f t="shared" ref="M17:M19" si="1">L17*K17</f>
        <v>6.4</v>
      </c>
      <c r="X17" s="28" t="s">
        <v>94</v>
      </c>
      <c r="Y17" s="50" t="s">
        <v>58</v>
      </c>
      <c r="Z17" s="31">
        <v>17</v>
      </c>
    </row>
    <row r="18" spans="1:31">
      <c r="A18" s="1">
        <v>14</v>
      </c>
      <c r="B18" s="3">
        <f t="shared" si="0"/>
        <v>277.19042392151579</v>
      </c>
      <c r="F18">
        <f>(PI()*F17^2)/4</f>
        <v>1.9634954084936209E-3</v>
      </c>
      <c r="J18" s="7" t="s">
        <v>22</v>
      </c>
      <c r="K18" s="19">
        <v>4</v>
      </c>
      <c r="L18" s="19">
        <v>1.1000000000000001</v>
      </c>
      <c r="M18" s="19">
        <f t="shared" si="1"/>
        <v>4.4000000000000004</v>
      </c>
      <c r="X18" s="28" t="s">
        <v>95</v>
      </c>
      <c r="Y18" s="46" t="s">
        <v>58</v>
      </c>
      <c r="Z18" s="31">
        <v>11</v>
      </c>
      <c r="AA18" s="41"/>
      <c r="AB18" s="41"/>
      <c r="AC18" s="41"/>
      <c r="AD18" s="41"/>
      <c r="AE18" s="41"/>
    </row>
    <row r="19" spans="1:31">
      <c r="A19" s="1">
        <v>15</v>
      </c>
      <c r="B19" s="3">
        <f t="shared" si="0"/>
        <v>291.04994511759156</v>
      </c>
      <c r="J19" s="7" t="s">
        <v>23</v>
      </c>
      <c r="K19" s="19">
        <v>5</v>
      </c>
      <c r="L19" s="19">
        <v>0.4</v>
      </c>
      <c r="M19" s="19">
        <f t="shared" si="1"/>
        <v>2</v>
      </c>
      <c r="X19" s="28" t="s">
        <v>96</v>
      </c>
      <c r="Y19" s="46" t="s">
        <v>58</v>
      </c>
      <c r="Z19" s="31">
        <v>3</v>
      </c>
      <c r="AA19" s="41"/>
      <c r="AB19" s="41"/>
      <c r="AC19" s="41"/>
      <c r="AD19" s="41"/>
      <c r="AE19" s="41"/>
    </row>
    <row r="20" spans="1:31">
      <c r="A20" s="1">
        <v>16</v>
      </c>
      <c r="B20" s="3">
        <f t="shared" si="0"/>
        <v>305.60244237347115</v>
      </c>
      <c r="J20" s="18"/>
      <c r="K20" s="20"/>
      <c r="L20" s="19"/>
      <c r="M20" s="19"/>
      <c r="X20" s="38" t="s">
        <v>79</v>
      </c>
      <c r="Y20" s="46" t="s">
        <v>58</v>
      </c>
      <c r="Z20" s="39">
        <v>1</v>
      </c>
      <c r="AA20" s="41"/>
      <c r="AB20" s="41"/>
      <c r="AC20" s="41"/>
      <c r="AD20" s="41"/>
      <c r="AE20" s="41"/>
    </row>
    <row r="21" spans="1:31">
      <c r="A21" s="1">
        <v>17</v>
      </c>
      <c r="B21" s="3">
        <f t="shared" si="0"/>
        <v>320.8825644921447</v>
      </c>
      <c r="L21" s="9" t="s">
        <v>24</v>
      </c>
      <c r="M21">
        <f>SUM(M16:M20)</f>
        <v>13.200000000000001</v>
      </c>
      <c r="X21" s="38" t="s">
        <v>90</v>
      </c>
      <c r="Y21" s="50" t="s">
        <v>58</v>
      </c>
      <c r="Z21" s="39">
        <v>5</v>
      </c>
    </row>
    <row r="22" spans="1:31" ht="15.75">
      <c r="A22" s="1">
        <v>18</v>
      </c>
      <c r="B22" s="3">
        <f t="shared" si="0"/>
        <v>336.92669271675197</v>
      </c>
      <c r="X22" s="40" t="s">
        <v>84</v>
      </c>
      <c r="Y22" s="42"/>
      <c r="Z22" s="40"/>
      <c r="AA22" s="41"/>
      <c r="AB22" s="41"/>
      <c r="AC22" s="41"/>
      <c r="AD22" s="41"/>
      <c r="AE22" s="41"/>
    </row>
    <row r="23" spans="1:31">
      <c r="A23" s="1">
        <v>19</v>
      </c>
      <c r="B23" s="3">
        <f t="shared" si="0"/>
        <v>353.77302735258957</v>
      </c>
      <c r="X23" s="41" t="s">
        <v>51</v>
      </c>
      <c r="Y23" s="46" t="s">
        <v>57</v>
      </c>
      <c r="Z23" s="46" t="s">
        <v>17</v>
      </c>
      <c r="AA23" s="41"/>
      <c r="AB23" s="41"/>
      <c r="AC23" s="41"/>
      <c r="AD23" s="41"/>
      <c r="AE23" s="41"/>
    </row>
    <row r="24" spans="1:31">
      <c r="A24" s="4">
        <v>20</v>
      </c>
      <c r="B24" s="17">
        <f t="shared" si="0"/>
        <v>371.46167872021908</v>
      </c>
      <c r="X24" s="41"/>
      <c r="Y24" s="46"/>
      <c r="Z24" s="41"/>
      <c r="AA24" s="41"/>
      <c r="AB24" s="41"/>
      <c r="AC24" s="41"/>
      <c r="AD24" s="41"/>
      <c r="AE24" s="41"/>
    </row>
    <row r="25" spans="1:31">
      <c r="X25" s="41" t="s">
        <v>52</v>
      </c>
      <c r="Y25" s="46" t="s">
        <v>59</v>
      </c>
      <c r="Z25" s="41">
        <v>90</v>
      </c>
      <c r="AA25" s="41"/>
      <c r="AB25" s="41"/>
      <c r="AC25" s="41"/>
      <c r="AD25" s="41"/>
      <c r="AE25" s="41"/>
    </row>
    <row r="26" spans="1:31">
      <c r="P26" s="35" t="s">
        <v>80</v>
      </c>
      <c r="X26" s="41" t="s">
        <v>53</v>
      </c>
      <c r="Y26" s="46" t="s">
        <v>60</v>
      </c>
      <c r="Z26" s="41">
        <v>8</v>
      </c>
      <c r="AA26" s="41"/>
      <c r="AB26" s="41"/>
      <c r="AC26" s="41"/>
      <c r="AD26" s="41"/>
      <c r="AE26" s="41"/>
    </row>
    <row r="27" spans="1:31">
      <c r="J27" s="34" t="s">
        <v>27</v>
      </c>
      <c r="N27" s="22">
        <f>H8/1000</f>
        <v>1.8057164937788429E-3</v>
      </c>
      <c r="P27">
        <f>N27*3600</f>
        <v>6.5005793776038345</v>
      </c>
      <c r="X27" s="41" t="s">
        <v>73</v>
      </c>
      <c r="Y27" s="46" t="s">
        <v>61</v>
      </c>
      <c r="Z27" s="41">
        <v>400</v>
      </c>
      <c r="AA27" s="41"/>
      <c r="AB27" s="41"/>
      <c r="AC27" s="41"/>
      <c r="AD27" s="41"/>
      <c r="AE27" s="41"/>
    </row>
    <row r="28" spans="1:31">
      <c r="J28" s="55" t="s">
        <v>25</v>
      </c>
      <c r="K28" s="55"/>
      <c r="L28" s="55"/>
      <c r="N28" s="22">
        <v>140</v>
      </c>
      <c r="X28" s="41" t="s">
        <v>54</v>
      </c>
      <c r="Y28" s="46" t="s">
        <v>62</v>
      </c>
      <c r="Z28" s="41">
        <v>500</v>
      </c>
      <c r="AA28" s="41"/>
      <c r="AB28" s="41"/>
      <c r="AC28" s="41"/>
      <c r="AD28" s="41"/>
      <c r="AE28" s="41"/>
    </row>
    <row r="29" spans="1:31">
      <c r="J29" t="s">
        <v>26</v>
      </c>
      <c r="N29">
        <v>0.05</v>
      </c>
      <c r="X29" s="41" t="s">
        <v>55</v>
      </c>
      <c r="Y29" s="46" t="s">
        <v>61</v>
      </c>
      <c r="Z29" s="41">
        <v>10</v>
      </c>
      <c r="AA29" s="41"/>
      <c r="AB29" s="41"/>
      <c r="AC29" s="41"/>
      <c r="AD29" s="41"/>
      <c r="AE29" s="41"/>
    </row>
    <row r="30" spans="1:31">
      <c r="J30" s="56" t="s">
        <v>28</v>
      </c>
      <c r="K30" s="56"/>
      <c r="N30">
        <f>M21</f>
        <v>13.200000000000001</v>
      </c>
      <c r="W30" s="27"/>
      <c r="X30" s="41" t="s">
        <v>56</v>
      </c>
      <c r="Y30" s="46" t="s">
        <v>60</v>
      </c>
      <c r="Z30" s="41">
        <v>130</v>
      </c>
      <c r="AA30" s="41"/>
      <c r="AB30" s="41"/>
      <c r="AC30" s="41"/>
      <c r="AD30" s="41"/>
      <c r="AE30" s="41"/>
    </row>
    <row r="31" spans="1:31">
      <c r="J31" s="56" t="s">
        <v>29</v>
      </c>
      <c r="K31" s="56"/>
      <c r="N31">
        <f>10.643*((N27/N28)^1.852)*(N30/(N29^4.87))</f>
        <v>0.26812662680794758</v>
      </c>
      <c r="W31" s="27"/>
      <c r="X31" s="41"/>
      <c r="Y31" s="46"/>
      <c r="Z31" s="41"/>
      <c r="AA31" s="41"/>
      <c r="AB31" s="41"/>
      <c r="AC31" s="41"/>
      <c r="AD31" s="41"/>
      <c r="AE31" s="41"/>
    </row>
    <row r="32" spans="1:31" ht="15" customHeight="1">
      <c r="W32" s="27"/>
      <c r="X32" s="42" t="s">
        <v>65</v>
      </c>
      <c r="Y32" s="46"/>
      <c r="Z32" s="46"/>
      <c r="AA32" s="41"/>
      <c r="AB32" s="41"/>
      <c r="AC32" s="41"/>
      <c r="AD32" s="41"/>
      <c r="AE32" s="41"/>
    </row>
    <row r="33" spans="10:31" ht="16.5" customHeight="1">
      <c r="U33" s="32"/>
      <c r="V33" s="32"/>
      <c r="W33" s="33"/>
      <c r="X33" s="41"/>
      <c r="Y33" s="46" t="s">
        <v>57</v>
      </c>
      <c r="Z33" s="46" t="s">
        <v>17</v>
      </c>
      <c r="AA33" s="41"/>
      <c r="AB33" s="41"/>
      <c r="AC33" s="41">
        <f>0.8*0.6</f>
        <v>0.48</v>
      </c>
      <c r="AD33" s="41"/>
      <c r="AE33" s="41"/>
    </row>
    <row r="34" spans="10:31" ht="15.75">
      <c r="J34" s="54" t="s">
        <v>30</v>
      </c>
      <c r="K34" s="54"/>
      <c r="L34" s="54"/>
      <c r="W34" s="27"/>
      <c r="X34" s="43" t="s">
        <v>66</v>
      </c>
      <c r="Y34" s="46" t="s">
        <v>14</v>
      </c>
      <c r="Z34" s="41">
        <f>Z11</f>
        <v>15494</v>
      </c>
      <c r="AA34" s="41"/>
      <c r="AB34" s="41"/>
      <c r="AC34" s="41"/>
      <c r="AD34" s="41"/>
      <c r="AE34" s="41"/>
    </row>
    <row r="35" spans="10:31">
      <c r="X35" s="44" t="s">
        <v>82</v>
      </c>
      <c r="Y35" s="46" t="s">
        <v>14</v>
      </c>
      <c r="Z35">
        <f>Z12</f>
        <v>1429</v>
      </c>
      <c r="AA35" s="41">
        <f>SUM(Z34:Z36)</f>
        <v>17661</v>
      </c>
      <c r="AB35" s="41">
        <f>0.75*AA35</f>
        <v>13245.75</v>
      </c>
      <c r="AC35" s="41"/>
      <c r="AD35" s="41"/>
      <c r="AE35" s="41"/>
    </row>
    <row r="36" spans="10:31" ht="15.75" customHeight="1">
      <c r="X36" s="44" t="s">
        <v>67</v>
      </c>
      <c r="Y36" s="46" t="s">
        <v>14</v>
      </c>
      <c r="Z36" s="41">
        <f>Z13</f>
        <v>738</v>
      </c>
      <c r="AA36" s="41"/>
      <c r="AB36" s="41"/>
      <c r="AC36" s="41"/>
      <c r="AD36" s="41"/>
      <c r="AE36" s="41"/>
    </row>
    <row r="37" spans="10:31">
      <c r="X37" s="45" t="s">
        <v>83</v>
      </c>
      <c r="Y37" s="48" t="s">
        <v>60</v>
      </c>
      <c r="Z37" s="41">
        <f>AB35*AC33</f>
        <v>6357.96</v>
      </c>
      <c r="AA37" s="41"/>
      <c r="AB37" s="41">
        <f>0.2*AA35</f>
        <v>3532.2000000000003</v>
      </c>
      <c r="AC37" s="41"/>
      <c r="AD37" s="41"/>
      <c r="AE37" s="41"/>
    </row>
    <row r="38" spans="10:31">
      <c r="X38" s="41" t="s">
        <v>72</v>
      </c>
      <c r="Y38" s="48" t="s">
        <v>60</v>
      </c>
      <c r="Z38" s="41">
        <f>AB37*AC33</f>
        <v>1695.4560000000001</v>
      </c>
      <c r="AA38" s="41"/>
      <c r="AB38" s="41">
        <f>0.05*AA35</f>
        <v>883.05000000000007</v>
      </c>
      <c r="AC38" s="41"/>
      <c r="AD38" s="41"/>
      <c r="AE38" s="41"/>
    </row>
    <row r="39" spans="10:31" ht="29.25" customHeight="1">
      <c r="X39" s="41" t="s">
        <v>81</v>
      </c>
      <c r="Y39" s="48" t="s">
        <v>60</v>
      </c>
      <c r="Z39" s="41">
        <f>AB38*AC33</f>
        <v>423.86400000000003</v>
      </c>
      <c r="AA39" s="41"/>
      <c r="AB39" s="41"/>
      <c r="AC39" s="41"/>
      <c r="AD39" s="41"/>
      <c r="AE39" s="41"/>
    </row>
    <row r="40" spans="10:31" ht="30">
      <c r="X40" s="47" t="s">
        <v>78</v>
      </c>
      <c r="Y40" s="46" t="s">
        <v>58</v>
      </c>
      <c r="Z40" s="41">
        <v>1</v>
      </c>
      <c r="AA40" s="41"/>
      <c r="AB40" s="41"/>
      <c r="AC40" s="41"/>
      <c r="AD40" s="41"/>
      <c r="AE40" s="41"/>
    </row>
    <row r="41" spans="10:31">
      <c r="X41" s="41" t="s">
        <v>68</v>
      </c>
      <c r="Y41" s="46" t="s">
        <v>71</v>
      </c>
      <c r="Z41" s="41">
        <v>500</v>
      </c>
      <c r="AA41" s="41"/>
      <c r="AB41" s="41"/>
      <c r="AC41" s="41"/>
      <c r="AD41" s="41"/>
      <c r="AE41" s="41"/>
    </row>
    <row r="42" spans="10:31">
      <c r="K42" t="s">
        <v>31</v>
      </c>
      <c r="L42">
        <f>((10.643*((N27/N28)^1.852))/N8)^(1/4.87)</f>
        <v>3.736770586962105E-2</v>
      </c>
      <c r="M42" t="s">
        <v>14</v>
      </c>
      <c r="X42" s="41" t="s">
        <v>69</v>
      </c>
      <c r="Y42" s="46" t="s">
        <v>71</v>
      </c>
      <c r="Z42" s="41">
        <v>160</v>
      </c>
      <c r="AA42" s="41"/>
      <c r="AB42" s="41"/>
      <c r="AC42" s="41"/>
      <c r="AD42" s="41"/>
      <c r="AE42" s="41"/>
    </row>
    <row r="43" spans="10:31">
      <c r="X43" s="41" t="s">
        <v>70</v>
      </c>
      <c r="Y43" s="46" t="s">
        <v>71</v>
      </c>
      <c r="Z43" s="41">
        <v>700</v>
      </c>
    </row>
    <row r="45" spans="10:31">
      <c r="J45" s="57" t="s">
        <v>32</v>
      </c>
      <c r="K45" s="57"/>
      <c r="L45" s="57"/>
      <c r="M45" s="57"/>
      <c r="N45" s="57"/>
      <c r="X45" s="34"/>
    </row>
    <row r="46" spans="10:31">
      <c r="J46" s="57"/>
      <c r="K46" s="57"/>
      <c r="L46" s="57"/>
      <c r="M46" s="57"/>
      <c r="N46" s="57"/>
    </row>
    <row r="47" spans="10:31">
      <c r="J47" s="57"/>
      <c r="K47" s="57"/>
      <c r="L47" s="57"/>
      <c r="M47" s="57"/>
      <c r="N47" s="57"/>
    </row>
    <row r="50" spans="10:14">
      <c r="J50" s="58" t="s">
        <v>33</v>
      </c>
      <c r="K50" s="58"/>
      <c r="L50" s="58"/>
      <c r="M50" s="58"/>
      <c r="N50" s="58"/>
    </row>
    <row r="51" spans="10:14" ht="15.75">
      <c r="J51" s="11"/>
    </row>
    <row r="52" spans="10:14" ht="15.75">
      <c r="J52" s="11"/>
    </row>
    <row r="53" spans="10:14" ht="15.75">
      <c r="J53" s="11"/>
    </row>
    <row r="54" spans="10:14" ht="18">
      <c r="J54" s="12" t="s">
        <v>34</v>
      </c>
    </row>
    <row r="55" spans="10:14" ht="15.75">
      <c r="J55" s="11"/>
    </row>
    <row r="56" spans="10:14">
      <c r="J56" s="13" t="s">
        <v>35</v>
      </c>
    </row>
    <row r="57" spans="10:14">
      <c r="J57" s="13" t="s">
        <v>36</v>
      </c>
    </row>
    <row r="58" spans="10:14">
      <c r="J58" s="59" t="s">
        <v>37</v>
      </c>
      <c r="K58" s="59"/>
      <c r="L58" s="59"/>
      <c r="M58" s="59"/>
      <c r="N58" s="59"/>
    </row>
    <row r="59" spans="10:14">
      <c r="J59" s="52" t="s">
        <v>38</v>
      </c>
      <c r="K59" s="52"/>
      <c r="L59" s="52"/>
      <c r="M59" s="52"/>
      <c r="N59" s="52"/>
    </row>
    <row r="60" spans="10:14">
      <c r="J60" s="14"/>
      <c r="K60" s="14"/>
      <c r="L60" s="14"/>
      <c r="M60" s="14"/>
      <c r="N60" s="14"/>
    </row>
    <row r="61" spans="10:14">
      <c r="K61" s="15" t="s">
        <v>39</v>
      </c>
      <c r="L61" s="15">
        <v>0.5</v>
      </c>
      <c r="M61" s="15"/>
      <c r="N61" s="15"/>
    </row>
    <row r="62" spans="10:14">
      <c r="K62" t="s">
        <v>40</v>
      </c>
      <c r="L62">
        <v>1.2</v>
      </c>
    </row>
    <row r="63" spans="10:14">
      <c r="K63" t="s">
        <v>31</v>
      </c>
      <c r="L63">
        <f>L61^(1/4)*L62*(N27^0.5)</f>
        <v>4.2879383202397384E-2</v>
      </c>
    </row>
  </sheetData>
  <mergeCells count="24">
    <mergeCell ref="X1:Z1"/>
    <mergeCell ref="J10:L10"/>
    <mergeCell ref="R10:T10"/>
    <mergeCell ref="A1:C1"/>
    <mergeCell ref="E1:H1"/>
    <mergeCell ref="J1:O1"/>
    <mergeCell ref="R1:U1"/>
    <mergeCell ref="A2:B2"/>
    <mergeCell ref="J3:N3"/>
    <mergeCell ref="R7:T7"/>
    <mergeCell ref="J8:L8"/>
    <mergeCell ref="R8:U8"/>
    <mergeCell ref="J9:M9"/>
    <mergeCell ref="R9:S9"/>
    <mergeCell ref="J59:N59"/>
    <mergeCell ref="R11:T11"/>
    <mergeCell ref="J13:P13"/>
    <mergeCell ref="J28:L28"/>
    <mergeCell ref="J30:K30"/>
    <mergeCell ref="J31:K31"/>
    <mergeCell ref="J34:L34"/>
    <mergeCell ref="J45:N47"/>
    <mergeCell ref="J50:N50"/>
    <mergeCell ref="J58:N58"/>
  </mergeCells>
  <pageMargins left="0.511811024" right="0.511811024" top="0.78740157499999996" bottom="0.78740157499999996" header="0.31496062000000002" footer="0.31496062000000002"/>
  <pageSetup paperSize="9" orientation="portrait" verticalDpi="0" r:id="rId1"/>
  <drawing r:id="rId2"/>
  <legacyDrawing r:id="rId3"/>
  <oleObjects>
    <oleObject progId="Equation.3" shapeId="2049" r:id="rId4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:AE63"/>
  <sheetViews>
    <sheetView tabSelected="1" topLeftCell="O10" workbookViewId="0">
      <selection activeCell="X17" sqref="X17"/>
    </sheetView>
  </sheetViews>
  <sheetFormatPr defaultRowHeight="15"/>
  <cols>
    <col min="1" max="1" width="9.140625" customWidth="1"/>
    <col min="10" max="10" width="18.85546875" bestFit="1" customWidth="1"/>
    <col min="11" max="11" width="11.5703125" customWidth="1"/>
    <col min="13" max="13" width="9.140625" customWidth="1"/>
    <col min="14" max="14" width="9.5703125" bestFit="1" customWidth="1"/>
    <col min="24" max="24" width="62" bestFit="1" customWidth="1"/>
    <col min="25" max="25" width="8.42578125" bestFit="1" customWidth="1"/>
    <col min="26" max="26" width="11.42578125" bestFit="1" customWidth="1"/>
    <col min="28" max="28" width="11.28515625" customWidth="1"/>
    <col min="29" max="29" width="9" hidden="1" customWidth="1"/>
    <col min="30" max="30" width="9.140625" hidden="1" customWidth="1"/>
    <col min="31" max="31" width="9.28515625" hidden="1" customWidth="1"/>
  </cols>
  <sheetData>
    <row r="1" spans="1:30" ht="15.75">
      <c r="A1" s="60" t="s">
        <v>2</v>
      </c>
      <c r="B1" s="61"/>
      <c r="C1" s="61"/>
      <c r="D1" s="5"/>
      <c r="E1" s="54" t="s">
        <v>3</v>
      </c>
      <c r="F1" s="54"/>
      <c r="G1" s="54"/>
      <c r="H1" s="62"/>
      <c r="J1" s="54" t="s">
        <v>8</v>
      </c>
      <c r="K1" s="54"/>
      <c r="L1" s="54"/>
      <c r="M1" s="54"/>
      <c r="N1" s="54"/>
      <c r="O1" s="54"/>
      <c r="R1" s="63" t="s">
        <v>41</v>
      </c>
      <c r="S1" s="63"/>
      <c r="T1" s="63"/>
      <c r="U1" s="63"/>
      <c r="X1" s="54" t="s">
        <v>63</v>
      </c>
      <c r="Y1" s="54"/>
      <c r="Z1" s="54"/>
      <c r="AA1" s="54"/>
      <c r="AB1" s="27"/>
      <c r="AC1" s="27"/>
      <c r="AD1" s="27"/>
    </row>
    <row r="2" spans="1:30">
      <c r="A2" s="64" t="s">
        <v>50</v>
      </c>
      <c r="B2" s="56"/>
      <c r="X2" s="27"/>
      <c r="Y2" s="27"/>
      <c r="Z2" s="27"/>
      <c r="AA2" s="27"/>
      <c r="AB2" s="27"/>
      <c r="AC2" s="27"/>
      <c r="AD2" s="27"/>
    </row>
    <row r="3" spans="1:30" ht="15.75">
      <c r="A3" s="1" t="s">
        <v>0</v>
      </c>
      <c r="B3" s="2" t="s">
        <v>1</v>
      </c>
      <c r="J3" s="54" t="s">
        <v>9</v>
      </c>
      <c r="K3" s="54"/>
      <c r="L3" s="54"/>
      <c r="M3" s="54"/>
      <c r="N3" s="54"/>
      <c r="X3" s="26" t="s">
        <v>64</v>
      </c>
      <c r="Y3" s="27"/>
      <c r="Z3" s="27"/>
      <c r="AA3" s="27"/>
      <c r="AB3" s="27"/>
      <c r="AC3" s="27"/>
      <c r="AD3" s="27"/>
    </row>
    <row r="4" spans="1:30">
      <c r="A4" s="1">
        <v>0</v>
      </c>
      <c r="B4" s="24">
        <v>45</v>
      </c>
      <c r="X4" s="27"/>
      <c r="Y4" s="27"/>
      <c r="Z4" s="27"/>
      <c r="AA4" s="27"/>
      <c r="AB4" s="27"/>
      <c r="AC4" s="27"/>
      <c r="AD4" s="27"/>
    </row>
    <row r="5" spans="1:30">
      <c r="A5" s="1">
        <v>1</v>
      </c>
      <c r="B5" s="3">
        <f>B4*1.05</f>
        <v>47.25</v>
      </c>
      <c r="X5" s="27" t="s">
        <v>51</v>
      </c>
      <c r="Y5" s="27" t="s">
        <v>57</v>
      </c>
      <c r="Z5" s="27" t="s">
        <v>17</v>
      </c>
      <c r="AA5" s="27"/>
      <c r="AB5" s="27"/>
      <c r="AC5" s="27"/>
      <c r="AD5" s="27"/>
    </row>
    <row r="6" spans="1:30">
      <c r="A6" s="1">
        <v>2</v>
      </c>
      <c r="B6" s="3">
        <f t="shared" ref="B6:B24" si="0">B5*1.05</f>
        <v>49.612500000000004</v>
      </c>
      <c r="E6" t="s">
        <v>4</v>
      </c>
      <c r="F6" t="s">
        <v>5</v>
      </c>
      <c r="G6" t="s">
        <v>6</v>
      </c>
      <c r="H6" t="s">
        <v>7</v>
      </c>
      <c r="X6" s="27"/>
      <c r="Y6" s="27"/>
      <c r="Z6" s="27"/>
      <c r="AA6" s="27"/>
      <c r="AB6" s="27"/>
      <c r="AC6" s="27"/>
      <c r="AD6" s="27"/>
    </row>
    <row r="7" spans="1:30">
      <c r="A7" s="1">
        <v>3</v>
      </c>
      <c r="B7" s="3">
        <f t="shared" si="0"/>
        <v>52.093125000000008</v>
      </c>
      <c r="E7">
        <v>1.2</v>
      </c>
      <c r="F7">
        <v>200</v>
      </c>
      <c r="G7" s="23">
        <f>B24</f>
        <v>119.39839673149902</v>
      </c>
      <c r="H7" s="22">
        <f>(E7*F7*G7)/86400</f>
        <v>0.33166221314305283</v>
      </c>
      <c r="R7" s="56" t="s">
        <v>42</v>
      </c>
      <c r="S7" s="56"/>
      <c r="T7" s="56"/>
      <c r="X7" s="27" t="s">
        <v>20</v>
      </c>
      <c r="Y7" s="27" t="s">
        <v>58</v>
      </c>
      <c r="Z7" s="27">
        <v>1</v>
      </c>
      <c r="AA7" s="27"/>
      <c r="AB7" s="27"/>
      <c r="AC7" s="27"/>
      <c r="AD7" s="27"/>
    </row>
    <row r="8" spans="1:30">
      <c r="A8" s="1">
        <v>4</v>
      </c>
      <c r="B8" s="3">
        <f t="shared" si="0"/>
        <v>54.697781250000013</v>
      </c>
      <c r="H8">
        <f>H7*1.5</f>
        <v>0.49749331971457922</v>
      </c>
      <c r="J8" s="56" t="s">
        <v>10</v>
      </c>
      <c r="K8" s="56"/>
      <c r="L8" s="56"/>
      <c r="N8" s="6">
        <f>N9/N10</f>
        <v>0.21628498727735368</v>
      </c>
      <c r="O8" t="s">
        <v>13</v>
      </c>
      <c r="R8" s="56" t="s">
        <v>43</v>
      </c>
      <c r="S8" s="56"/>
      <c r="T8" s="56"/>
      <c r="U8" s="56"/>
      <c r="V8">
        <f xml:space="preserve"> 1000</f>
        <v>1000</v>
      </c>
      <c r="X8" s="27" t="s">
        <v>21</v>
      </c>
      <c r="Y8" s="27" t="s">
        <v>58</v>
      </c>
      <c r="Z8" s="27">
        <v>1</v>
      </c>
      <c r="AA8" s="27"/>
      <c r="AB8" s="27"/>
      <c r="AC8" s="27"/>
      <c r="AD8" s="27"/>
    </row>
    <row r="9" spans="1:30">
      <c r="A9" s="1">
        <v>5</v>
      </c>
      <c r="B9" s="3">
        <f t="shared" si="0"/>
        <v>57.432670312500015</v>
      </c>
      <c r="J9" s="56" t="s">
        <v>11</v>
      </c>
      <c r="K9" s="56"/>
      <c r="L9" s="56"/>
      <c r="M9" s="56"/>
      <c r="N9" s="21">
        <v>85</v>
      </c>
      <c r="O9" t="s">
        <v>14</v>
      </c>
      <c r="R9" s="56" t="s">
        <v>44</v>
      </c>
      <c r="S9" s="56"/>
      <c r="X9" s="51" t="s">
        <v>92</v>
      </c>
      <c r="Y9" s="27" t="s">
        <v>58</v>
      </c>
      <c r="Z9" s="27">
        <v>4</v>
      </c>
      <c r="AA9" s="27"/>
      <c r="AB9" s="27"/>
      <c r="AC9" s="27"/>
      <c r="AD9" s="27"/>
    </row>
    <row r="10" spans="1:30">
      <c r="A10" s="1">
        <v>6</v>
      </c>
      <c r="B10" s="3">
        <f t="shared" si="0"/>
        <v>60.304303828125022</v>
      </c>
      <c r="J10" s="56" t="s">
        <v>12</v>
      </c>
      <c r="K10" s="56"/>
      <c r="L10" s="56"/>
      <c r="N10" s="21">
        <v>393</v>
      </c>
      <c r="O10" t="s">
        <v>14</v>
      </c>
      <c r="R10" s="56" t="s">
        <v>45</v>
      </c>
      <c r="S10" s="56"/>
      <c r="T10" s="56"/>
      <c r="X10" s="51" t="s">
        <v>93</v>
      </c>
      <c r="Y10" s="27" t="s">
        <v>58</v>
      </c>
      <c r="Z10" s="27">
        <v>5</v>
      </c>
      <c r="AA10" s="27"/>
      <c r="AB10" s="27"/>
      <c r="AC10" s="27"/>
      <c r="AD10" s="27"/>
    </row>
    <row r="11" spans="1:30">
      <c r="A11" s="1">
        <v>7</v>
      </c>
      <c r="B11" s="3">
        <f t="shared" si="0"/>
        <v>63.319519019531278</v>
      </c>
      <c r="R11" s="53" t="s">
        <v>48</v>
      </c>
      <c r="S11" s="53"/>
      <c r="T11" s="53"/>
      <c r="V11" s="16">
        <v>0.7</v>
      </c>
      <c r="X11" s="30" t="s">
        <v>75</v>
      </c>
      <c r="Y11" s="27" t="s">
        <v>14</v>
      </c>
      <c r="Z11" s="27">
        <v>3000</v>
      </c>
      <c r="AA11" s="27"/>
      <c r="AB11" s="27"/>
      <c r="AC11" s="27"/>
      <c r="AD11" s="27"/>
    </row>
    <row r="12" spans="1:30">
      <c r="A12" s="1">
        <v>8</v>
      </c>
      <c r="B12" s="3">
        <f t="shared" si="0"/>
        <v>66.485494970507844</v>
      </c>
      <c r="R12" t="s">
        <v>46</v>
      </c>
      <c r="S12">
        <f>V8*N27*(N9+M21)/(75*0.7)</f>
        <v>0.93054940944707976</v>
      </c>
      <c r="T12" t="s">
        <v>47</v>
      </c>
      <c r="X12" s="25" t="s">
        <v>76</v>
      </c>
      <c r="Y12" s="27" t="s">
        <v>14</v>
      </c>
      <c r="Z12" s="27">
        <v>307</v>
      </c>
      <c r="AA12" s="27"/>
      <c r="AB12" s="27"/>
      <c r="AC12" s="27"/>
      <c r="AD12" s="27"/>
    </row>
    <row r="13" spans="1:30" ht="15.75">
      <c r="A13" s="1">
        <v>9</v>
      </c>
      <c r="B13" s="3">
        <f t="shared" si="0"/>
        <v>69.809769719033241</v>
      </c>
      <c r="J13" s="54" t="s">
        <v>15</v>
      </c>
      <c r="K13" s="54"/>
      <c r="L13" s="54"/>
      <c r="M13" s="54"/>
      <c r="N13" s="54"/>
      <c r="O13" s="54"/>
      <c r="P13" s="54"/>
      <c r="Q13" s="10"/>
      <c r="X13" s="28" t="s">
        <v>91</v>
      </c>
      <c r="Y13" s="27" t="s">
        <v>58</v>
      </c>
      <c r="Z13" s="31">
        <v>1</v>
      </c>
      <c r="AA13" s="27"/>
      <c r="AB13" s="27"/>
      <c r="AC13" s="27"/>
      <c r="AD13" s="27"/>
    </row>
    <row r="14" spans="1:30">
      <c r="A14" s="1">
        <v>10</v>
      </c>
      <c r="B14" s="3">
        <f t="shared" si="0"/>
        <v>73.3002582049849</v>
      </c>
      <c r="X14" s="29" t="s">
        <v>85</v>
      </c>
      <c r="Y14" s="27" t="s">
        <v>58</v>
      </c>
      <c r="Z14" s="31">
        <v>11</v>
      </c>
      <c r="AA14" s="27"/>
      <c r="AB14" s="27"/>
      <c r="AC14" s="27"/>
      <c r="AD14" s="27"/>
    </row>
    <row r="15" spans="1:30" ht="15" customHeight="1">
      <c r="A15" s="1">
        <v>11</v>
      </c>
      <c r="B15" s="3">
        <f t="shared" si="0"/>
        <v>76.965271115234145</v>
      </c>
      <c r="J15" s="7" t="s">
        <v>16</v>
      </c>
      <c r="K15" s="7" t="s">
        <v>17</v>
      </c>
      <c r="L15" s="7" t="s">
        <v>18</v>
      </c>
      <c r="M15" s="8" t="s">
        <v>19</v>
      </c>
      <c r="X15" s="29" t="s">
        <v>89</v>
      </c>
      <c r="Y15" s="27" t="s">
        <v>58</v>
      </c>
      <c r="Z15" s="31">
        <v>9</v>
      </c>
      <c r="AA15" s="27"/>
      <c r="AB15" s="27"/>
      <c r="AC15" s="27"/>
      <c r="AD15" s="27"/>
    </row>
    <row r="16" spans="1:30" ht="15" customHeight="1">
      <c r="A16" s="1">
        <v>12</v>
      </c>
      <c r="B16" s="3">
        <f t="shared" si="0"/>
        <v>80.81353467099585</v>
      </c>
      <c r="J16" s="7" t="s">
        <v>20</v>
      </c>
      <c r="K16" s="19">
        <v>1</v>
      </c>
      <c r="L16" s="19">
        <v>0.4</v>
      </c>
      <c r="M16" s="19">
        <f>L16*K16</f>
        <v>0.4</v>
      </c>
      <c r="X16" s="28" t="s">
        <v>94</v>
      </c>
      <c r="Y16" s="27" t="s">
        <v>58</v>
      </c>
      <c r="Z16" s="31">
        <v>9</v>
      </c>
      <c r="AA16" s="27"/>
      <c r="AB16" s="27"/>
      <c r="AC16" s="27"/>
      <c r="AD16" s="27"/>
    </row>
    <row r="17" spans="1:31">
      <c r="A17" s="1">
        <v>13</v>
      </c>
      <c r="B17" s="3">
        <f t="shared" si="0"/>
        <v>84.854211404545651</v>
      </c>
      <c r="J17" s="7" t="s">
        <v>21</v>
      </c>
      <c r="K17" s="19">
        <v>1</v>
      </c>
      <c r="L17" s="19">
        <v>6.4</v>
      </c>
      <c r="M17" s="19">
        <f t="shared" ref="M17:M19" si="1">L17*K17</f>
        <v>6.4</v>
      </c>
      <c r="X17" s="28" t="s">
        <v>77</v>
      </c>
      <c r="Y17" s="30" t="s">
        <v>58</v>
      </c>
      <c r="Z17" s="31">
        <v>1</v>
      </c>
      <c r="AA17" s="27"/>
      <c r="AB17" s="27"/>
      <c r="AC17" s="27"/>
      <c r="AD17" s="27"/>
    </row>
    <row r="18" spans="1:31">
      <c r="A18" s="1">
        <v>14</v>
      </c>
      <c r="B18" s="3">
        <f t="shared" si="0"/>
        <v>89.09692197477294</v>
      </c>
      <c r="J18" s="7" t="s">
        <v>22</v>
      </c>
      <c r="K18" s="19">
        <v>4</v>
      </c>
      <c r="L18" s="19">
        <v>1.1000000000000001</v>
      </c>
      <c r="M18" s="19">
        <f t="shared" si="1"/>
        <v>4.4000000000000004</v>
      </c>
      <c r="X18" s="38" t="s">
        <v>90</v>
      </c>
      <c r="Y18" s="49" t="s">
        <v>58</v>
      </c>
      <c r="Z18" s="39">
        <v>3</v>
      </c>
      <c r="AA18" s="27"/>
      <c r="AB18" s="27"/>
      <c r="AC18" s="27"/>
      <c r="AD18" s="27"/>
    </row>
    <row r="19" spans="1:31" ht="15.75">
      <c r="A19" s="1">
        <v>15</v>
      </c>
      <c r="B19" s="3">
        <f t="shared" si="0"/>
        <v>93.551768073511596</v>
      </c>
      <c r="J19" s="7" t="s">
        <v>23</v>
      </c>
      <c r="K19" s="19">
        <v>5</v>
      </c>
      <c r="L19" s="19">
        <v>0.4</v>
      </c>
      <c r="M19" s="19">
        <f t="shared" si="1"/>
        <v>2</v>
      </c>
      <c r="X19" s="26" t="s">
        <v>74</v>
      </c>
      <c r="Y19" s="26"/>
      <c r="Z19" s="26"/>
      <c r="AA19" s="26"/>
      <c r="AB19" s="27"/>
      <c r="AC19" s="27"/>
      <c r="AD19" s="27"/>
    </row>
    <row r="20" spans="1:31">
      <c r="A20" s="1">
        <v>16</v>
      </c>
      <c r="B20" s="3">
        <f t="shared" si="0"/>
        <v>98.229356477187181</v>
      </c>
      <c r="J20" s="18"/>
      <c r="K20" s="20"/>
      <c r="L20" s="19"/>
      <c r="M20" s="19"/>
      <c r="X20" s="27" t="s">
        <v>51</v>
      </c>
      <c r="Y20" s="27" t="s">
        <v>57</v>
      </c>
      <c r="Z20" s="27" t="s">
        <v>17</v>
      </c>
      <c r="AA20" s="27"/>
      <c r="AB20" s="27"/>
      <c r="AC20" s="27"/>
      <c r="AD20" s="27"/>
    </row>
    <row r="21" spans="1:31">
      <c r="A21" s="1">
        <v>17</v>
      </c>
      <c r="B21" s="3">
        <f t="shared" si="0"/>
        <v>103.14082430104655</v>
      </c>
      <c r="L21" s="9" t="s">
        <v>24</v>
      </c>
      <c r="M21">
        <f>SUM(M16:M20)</f>
        <v>13.200000000000001</v>
      </c>
      <c r="X21" s="27"/>
      <c r="Y21" s="27"/>
      <c r="Z21" s="27"/>
      <c r="AA21" s="27"/>
      <c r="AB21" s="27"/>
      <c r="AC21" s="27"/>
      <c r="AD21" s="27"/>
    </row>
    <row r="22" spans="1:31">
      <c r="A22" s="1">
        <v>18</v>
      </c>
      <c r="B22" s="3">
        <f t="shared" si="0"/>
        <v>108.29786551609888</v>
      </c>
      <c r="X22" s="27" t="s">
        <v>52</v>
      </c>
      <c r="Y22" s="27" t="s">
        <v>59</v>
      </c>
      <c r="Z22" s="27">
        <v>45</v>
      </c>
      <c r="AA22" s="27"/>
      <c r="AB22" s="27"/>
      <c r="AC22" s="27"/>
      <c r="AD22" s="27"/>
    </row>
    <row r="23" spans="1:31">
      <c r="A23" s="1">
        <v>19</v>
      </c>
      <c r="B23" s="3">
        <f t="shared" si="0"/>
        <v>113.71275879190382</v>
      </c>
      <c r="X23" s="27" t="s">
        <v>53</v>
      </c>
      <c r="Y23" s="27" t="s">
        <v>60</v>
      </c>
      <c r="Z23" s="27">
        <v>4</v>
      </c>
      <c r="AA23" s="27"/>
      <c r="AB23" s="27"/>
      <c r="AC23" s="27"/>
      <c r="AD23" s="27"/>
    </row>
    <row r="24" spans="1:31">
      <c r="A24" s="4">
        <v>20</v>
      </c>
      <c r="B24" s="17">
        <f t="shared" si="0"/>
        <v>119.39839673149902</v>
      </c>
      <c r="X24" s="27" t="s">
        <v>73</v>
      </c>
      <c r="Y24" s="27" t="s">
        <v>61</v>
      </c>
      <c r="Z24" s="27">
        <v>200</v>
      </c>
      <c r="AA24" s="27"/>
      <c r="AB24" s="27"/>
      <c r="AC24" s="27"/>
      <c r="AD24" s="27"/>
    </row>
    <row r="25" spans="1:31">
      <c r="X25" s="27" t="s">
        <v>54</v>
      </c>
      <c r="Y25" s="27" t="s">
        <v>62</v>
      </c>
      <c r="Z25" s="27">
        <v>250</v>
      </c>
      <c r="AA25" s="27"/>
      <c r="AB25" s="27"/>
      <c r="AC25" s="27"/>
      <c r="AD25" s="27"/>
    </row>
    <row r="26" spans="1:31">
      <c r="X26" s="27" t="s">
        <v>55</v>
      </c>
      <c r="Y26" s="27" t="s">
        <v>61</v>
      </c>
      <c r="Z26" s="27">
        <v>10</v>
      </c>
      <c r="AA26" s="27"/>
      <c r="AB26" s="27"/>
      <c r="AC26" s="27"/>
      <c r="AD26" s="27"/>
    </row>
    <row r="27" spans="1:31">
      <c r="J27" t="s">
        <v>27</v>
      </c>
      <c r="N27" s="22">
        <f>H8/1000</f>
        <v>4.9749331971457925E-4</v>
      </c>
      <c r="X27" s="27" t="s">
        <v>56</v>
      </c>
      <c r="Y27" s="27" t="s">
        <v>60</v>
      </c>
      <c r="Z27" s="27">
        <v>65</v>
      </c>
      <c r="AA27" s="27"/>
      <c r="AB27" s="27"/>
      <c r="AC27" s="27"/>
      <c r="AD27" s="27"/>
    </row>
    <row r="28" spans="1:31">
      <c r="J28" s="55" t="s">
        <v>25</v>
      </c>
      <c r="K28" s="55"/>
      <c r="L28" s="55"/>
      <c r="N28" s="22">
        <v>140</v>
      </c>
      <c r="X28" s="27"/>
      <c r="Y28" s="27"/>
      <c r="Z28" s="27"/>
      <c r="AA28" s="27"/>
      <c r="AB28" s="27"/>
      <c r="AC28" s="27"/>
      <c r="AD28" s="27"/>
    </row>
    <row r="29" spans="1:31" ht="15.75">
      <c r="J29" t="s">
        <v>26</v>
      </c>
      <c r="N29">
        <v>0.05</v>
      </c>
      <c r="X29" s="54" t="s">
        <v>65</v>
      </c>
      <c r="Y29" s="67"/>
      <c r="Z29" s="67"/>
      <c r="AA29" s="67"/>
      <c r="AB29" s="27"/>
      <c r="AC29" s="27"/>
      <c r="AD29" s="27"/>
    </row>
    <row r="30" spans="1:31">
      <c r="J30" s="56" t="s">
        <v>28</v>
      </c>
      <c r="K30" s="56"/>
      <c r="N30">
        <f>M21</f>
        <v>13.200000000000001</v>
      </c>
      <c r="X30" s="27"/>
      <c r="Y30" s="27"/>
      <c r="Z30" s="27"/>
      <c r="AA30" s="27" t="s">
        <v>57</v>
      </c>
      <c r="AB30" s="27" t="s">
        <v>17</v>
      </c>
      <c r="AC30" s="27"/>
      <c r="AD30" s="27"/>
      <c r="AE30">
        <v>0.48</v>
      </c>
    </row>
    <row r="31" spans="1:31">
      <c r="J31" s="56" t="s">
        <v>29</v>
      </c>
      <c r="K31" s="56"/>
      <c r="N31">
        <f>10.643*((N27/N28)^1.852)*(N30/(N29^4.87))</f>
        <v>2.4630597290223197E-2</v>
      </c>
      <c r="X31" s="68" t="s">
        <v>66</v>
      </c>
      <c r="Y31" s="69"/>
      <c r="Z31" s="69"/>
      <c r="AA31" s="27" t="s">
        <v>14</v>
      </c>
      <c r="AB31" s="27">
        <v>3000</v>
      </c>
      <c r="AC31" s="27"/>
      <c r="AD31" s="27"/>
    </row>
    <row r="32" spans="1:31">
      <c r="X32" s="70" t="s">
        <v>67</v>
      </c>
      <c r="Y32" s="70"/>
      <c r="Z32" s="70"/>
      <c r="AA32" s="27" t="s">
        <v>14</v>
      </c>
      <c r="AB32" s="27">
        <v>307</v>
      </c>
      <c r="AC32" s="27">
        <f>AB31+AB32</f>
        <v>3307</v>
      </c>
    </row>
    <row r="33" spans="10:30" ht="18" customHeight="1">
      <c r="X33" s="71" t="s">
        <v>83</v>
      </c>
      <c r="Y33" s="71"/>
      <c r="Z33" s="71"/>
      <c r="AA33" s="32" t="s">
        <v>60</v>
      </c>
      <c r="AB33" s="27">
        <f>AD33*AE30</f>
        <v>1190.52</v>
      </c>
      <c r="AC33" s="27"/>
      <c r="AD33" s="27">
        <f>0.75*AC32</f>
        <v>2480.25</v>
      </c>
    </row>
    <row r="34" spans="10:30" ht="15.75">
      <c r="J34" s="54" t="s">
        <v>30</v>
      </c>
      <c r="K34" s="54"/>
      <c r="L34" s="54"/>
      <c r="X34" s="56" t="s">
        <v>72</v>
      </c>
      <c r="Y34" s="66"/>
      <c r="Z34" s="66"/>
      <c r="AA34" s="32" t="s">
        <v>60</v>
      </c>
      <c r="AB34" s="27">
        <f>AD34*AE30</f>
        <v>317.47200000000004</v>
      </c>
      <c r="AC34" s="27"/>
      <c r="AD34" s="27">
        <f>0.2*AC32</f>
        <v>661.40000000000009</v>
      </c>
    </row>
    <row r="35" spans="10:30">
      <c r="X35" s="56" t="s">
        <v>81</v>
      </c>
      <c r="Y35" s="56"/>
      <c r="Z35" s="56"/>
      <c r="AA35" s="37" t="s">
        <v>60</v>
      </c>
      <c r="AB35" s="36">
        <f>AD35*AE30</f>
        <v>79.368000000000009</v>
      </c>
      <c r="AC35" s="27"/>
      <c r="AD35" s="36">
        <f>0.05*AC32</f>
        <v>165.35000000000002</v>
      </c>
    </row>
    <row r="36" spans="10:30" ht="30" customHeight="1">
      <c r="X36" s="65" t="s">
        <v>78</v>
      </c>
      <c r="Y36" s="65"/>
      <c r="Z36" s="65"/>
      <c r="AA36" s="36" t="s">
        <v>58</v>
      </c>
      <c r="AB36" s="36">
        <v>1</v>
      </c>
      <c r="AC36" s="27"/>
      <c r="AD36" s="27"/>
    </row>
    <row r="37" spans="10:30">
      <c r="X37" s="27" t="s">
        <v>68</v>
      </c>
      <c r="Y37" s="27"/>
      <c r="Z37" s="27"/>
      <c r="AA37" s="27" t="s">
        <v>71</v>
      </c>
      <c r="AB37" s="27">
        <v>250</v>
      </c>
      <c r="AC37" s="27"/>
      <c r="AD37" s="27"/>
    </row>
    <row r="38" spans="10:30">
      <c r="X38" s="27" t="s">
        <v>69</v>
      </c>
      <c r="Y38" s="27"/>
      <c r="Z38" s="27"/>
      <c r="AA38" s="27" t="s">
        <v>71</v>
      </c>
      <c r="AB38" s="27">
        <v>80</v>
      </c>
      <c r="AC38" s="27"/>
      <c r="AD38" s="27"/>
    </row>
    <row r="39" spans="10:30">
      <c r="X39" s="27" t="s">
        <v>70</v>
      </c>
      <c r="Y39" s="27"/>
      <c r="Z39" s="27"/>
      <c r="AA39" s="27" t="s">
        <v>71</v>
      </c>
      <c r="AB39" s="27">
        <v>350</v>
      </c>
    </row>
    <row r="42" spans="10:30">
      <c r="K42" t="s">
        <v>31</v>
      </c>
      <c r="L42">
        <f>((10.643*((N27/N28)^1.852))/N8)^(1/4.87)</f>
        <v>1.8841911543957052E-2</v>
      </c>
      <c r="M42" t="s">
        <v>14</v>
      </c>
    </row>
    <row r="45" spans="10:30">
      <c r="J45" s="57" t="s">
        <v>32</v>
      </c>
      <c r="K45" s="57"/>
      <c r="L45" s="57"/>
      <c r="M45" s="57"/>
      <c r="N45" s="57"/>
    </row>
    <row r="46" spans="10:30">
      <c r="J46" s="57"/>
      <c r="K46" s="57"/>
      <c r="L46" s="57"/>
      <c r="M46" s="57"/>
      <c r="N46" s="57"/>
    </row>
    <row r="47" spans="10:30">
      <c r="J47" s="57"/>
      <c r="K47" s="57"/>
      <c r="L47" s="57"/>
      <c r="M47" s="57"/>
      <c r="N47" s="57"/>
    </row>
    <row r="50" spans="10:14">
      <c r="J50" s="58" t="s">
        <v>33</v>
      </c>
      <c r="K50" s="58"/>
      <c r="L50" s="58"/>
      <c r="M50" s="58"/>
      <c r="N50" s="58"/>
    </row>
    <row r="51" spans="10:14" ht="15.75">
      <c r="J51" s="11"/>
    </row>
    <row r="52" spans="10:14" ht="15.75">
      <c r="J52" s="11"/>
    </row>
    <row r="53" spans="10:14" ht="15.75">
      <c r="J53" s="11"/>
    </row>
    <row r="54" spans="10:14" ht="18">
      <c r="J54" s="12" t="s">
        <v>34</v>
      </c>
    </row>
    <row r="55" spans="10:14" ht="15.75">
      <c r="J55" s="11"/>
    </row>
    <row r="56" spans="10:14">
      <c r="J56" s="13" t="s">
        <v>35</v>
      </c>
    </row>
    <row r="57" spans="10:14">
      <c r="J57" s="13" t="s">
        <v>36</v>
      </c>
    </row>
    <row r="58" spans="10:14">
      <c r="J58" s="59" t="s">
        <v>37</v>
      </c>
      <c r="K58" s="59"/>
      <c r="L58" s="59"/>
      <c r="M58" s="59"/>
      <c r="N58" s="59"/>
    </row>
    <row r="59" spans="10:14">
      <c r="J59" s="52" t="s">
        <v>38</v>
      </c>
      <c r="K59" s="52"/>
      <c r="L59" s="52"/>
      <c r="M59" s="52"/>
      <c r="N59" s="52"/>
    </row>
    <row r="60" spans="10:14">
      <c r="J60" s="14"/>
      <c r="K60" s="14"/>
      <c r="L60" s="14"/>
      <c r="M60" s="14"/>
      <c r="N60" s="14"/>
    </row>
    <row r="61" spans="10:14">
      <c r="K61" s="15" t="s">
        <v>39</v>
      </c>
      <c r="L61" s="15">
        <v>0.5</v>
      </c>
      <c r="M61" s="15"/>
      <c r="N61" s="15"/>
    </row>
    <row r="62" spans="10:14">
      <c r="K62" t="s">
        <v>40</v>
      </c>
      <c r="L62">
        <v>1.2</v>
      </c>
    </row>
    <row r="63" spans="10:14">
      <c r="K63" t="s">
        <v>31</v>
      </c>
      <c r="L63">
        <f>L61^(1/4)*L62*(N27^0.5)</f>
        <v>2.2506987713816078E-2</v>
      </c>
    </row>
  </sheetData>
  <mergeCells count="31">
    <mergeCell ref="X34:Z34"/>
    <mergeCell ref="X1:AA1"/>
    <mergeCell ref="X29:AA29"/>
    <mergeCell ref="X31:Z31"/>
    <mergeCell ref="X32:Z32"/>
    <mergeCell ref="X33:Z33"/>
    <mergeCell ref="J10:L10"/>
    <mergeCell ref="R10:T10"/>
    <mergeCell ref="A1:C1"/>
    <mergeCell ref="E1:H1"/>
    <mergeCell ref="J1:O1"/>
    <mergeCell ref="R1:U1"/>
    <mergeCell ref="A2:B2"/>
    <mergeCell ref="J3:N3"/>
    <mergeCell ref="R7:T7"/>
    <mergeCell ref="J8:L8"/>
    <mergeCell ref="R8:U8"/>
    <mergeCell ref="J9:M9"/>
    <mergeCell ref="R9:S9"/>
    <mergeCell ref="J59:N59"/>
    <mergeCell ref="R11:T11"/>
    <mergeCell ref="J13:P13"/>
    <mergeCell ref="J28:L28"/>
    <mergeCell ref="J30:K30"/>
    <mergeCell ref="J31:K31"/>
    <mergeCell ref="J34:L34"/>
    <mergeCell ref="X35:Z35"/>
    <mergeCell ref="X36:Z36"/>
    <mergeCell ref="J45:N47"/>
    <mergeCell ref="J50:N50"/>
    <mergeCell ref="J58:N58"/>
  </mergeCells>
  <pageMargins left="0.511811024" right="0.511811024" top="0.78740157499999996" bottom="0.78740157499999996" header="0.31496062000000002" footer="0.31496062000000002"/>
  <drawing r:id="rId1"/>
  <legacyDrawing r:id="rId2"/>
  <oleObjects>
    <oleObject progId="Equation.3" shapeId="3073" r:id="rId3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Cabeceira da Prata</vt:lpstr>
      <vt:lpstr>Lages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2012-09-13T18:43:16Z</dcterms:created>
  <dcterms:modified xsi:type="dcterms:W3CDTF">2012-10-10T18:11:03Z</dcterms:modified>
</cp:coreProperties>
</file>