
<file path=[Content_Types].xml><?xml version="1.0" encoding="utf-8"?>
<Types xmlns="http://schemas.openxmlformats.org/package/2006/content-types">
  <Default Extension="bin" ContentType="application/vnd.openxmlformats-officedocument.oleObject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omments3.xml" ContentType="application/vnd.openxmlformats-officedocument.spreadsheetml.comments+xml"/>
  <Override PartName="/xl/drawings/drawing4.xml" ContentType="application/vnd.openxmlformats-officedocument.drawing+xml"/>
  <Override PartName="/xl/comments4.xml" ContentType="application/vnd.openxmlformats-officedocument.spreadsheetml.comments+xml"/>
  <Override PartName="/xl/drawings/drawing5.xml" ContentType="application/vnd.openxmlformats-officedocument.drawing+xml"/>
  <Override PartName="/xl/comments5.xml" ContentType="application/vnd.openxmlformats-officedocument.spreadsheetml.comments+xml"/>
  <Override PartName="/xl/drawings/drawing6.xml" ContentType="application/vnd.openxmlformats-officedocument.drawing+xml"/>
  <Override PartName="/xl/comments6.xml" ContentType="application/vnd.openxmlformats-officedocument.spreadsheetml.comments+xml"/>
  <Override PartName="/xl/drawings/drawing7.xml" ContentType="application/vnd.openxmlformats-officedocument.drawing+xml"/>
  <Override PartName="/xl/comments7.xml" ContentType="application/vnd.openxmlformats-officedocument.spreadsheetml.comments+xml"/>
  <Override PartName="/xl/drawings/drawing8.xml" ContentType="application/vnd.openxmlformats-officedocument.drawing+xml"/>
  <Override PartName="/xl/comments8.xml" ContentType="application/vnd.openxmlformats-officedocument.spreadsheetml.comments+xml"/>
  <Override PartName="/xl/drawings/drawing9.xml" ContentType="application/vnd.openxmlformats-officedocument.drawing+xml"/>
  <Override PartName="/xl/comments9.xml" ContentType="application/vnd.openxmlformats-officedocument.spreadsheetml.comments+xml"/>
  <Override PartName="/xl/drawings/drawing10.xml" ContentType="application/vnd.openxmlformats-officedocument.drawing+xml"/>
  <Override PartName="/xl/comments10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5" yWindow="-15" windowWidth="20550" windowHeight="8115" firstSheet="4" activeTab="9"/>
  </bookViews>
  <sheets>
    <sheet name="Junco" sheetId="4" r:id="rId1"/>
    <sheet name="Brejão" sheetId="9" r:id="rId2"/>
    <sheet name="Pinhão Mocó" sheetId="10" r:id="rId3"/>
    <sheet name="Jacu Jiboia" sheetId="11" r:id="rId4"/>
    <sheet name="Riacho das Areias" sheetId="12" r:id="rId5"/>
    <sheet name="Riacho das Pedras" sheetId="13" r:id="rId6"/>
    <sheet name="Cabeceiras " sheetId="14" r:id="rId7"/>
    <sheet name="Varzea da Conceição" sheetId="15" r:id="rId8"/>
    <sheet name="Lagoa do Sitio" sheetId="16" r:id="rId9"/>
    <sheet name="Pedra Redonda" sheetId="17" r:id="rId10"/>
  </sheets>
  <calcPr calcId="145621"/>
</workbook>
</file>

<file path=xl/calcChain.xml><?xml version="1.0" encoding="utf-8"?>
<calcChain xmlns="http://schemas.openxmlformats.org/spreadsheetml/2006/main">
  <c r="Z38" i="17" l="1"/>
  <c r="D12" i="17"/>
  <c r="Z41" i="17"/>
  <c r="Z40" i="17"/>
  <c r="Z39" i="17"/>
  <c r="AA37" i="17" s="1"/>
  <c r="M19" i="17"/>
  <c r="M18" i="17"/>
  <c r="M17" i="17"/>
  <c r="M16" i="17"/>
  <c r="V8" i="17"/>
  <c r="N8" i="17"/>
  <c r="B5" i="17"/>
  <c r="B6" i="17" s="1"/>
  <c r="B7" i="17" s="1"/>
  <c r="B8" i="17" s="1"/>
  <c r="B9" i="17" s="1"/>
  <c r="B10" i="17" s="1"/>
  <c r="B11" i="17" s="1"/>
  <c r="B12" i="17" s="1"/>
  <c r="B13" i="17" s="1"/>
  <c r="B14" i="17" s="1"/>
  <c r="B15" i="17" s="1"/>
  <c r="B16" i="17" s="1"/>
  <c r="B17" i="17" s="1"/>
  <c r="B18" i="17" s="1"/>
  <c r="B19" i="17" s="1"/>
  <c r="B20" i="17" s="1"/>
  <c r="B21" i="17" s="1"/>
  <c r="B22" i="17" s="1"/>
  <c r="B23" i="17" s="1"/>
  <c r="B24" i="17" s="1"/>
  <c r="G7" i="17" s="1"/>
  <c r="H7" i="17" s="1"/>
  <c r="H8" i="17" s="1"/>
  <c r="N27" i="17" s="1"/>
  <c r="AD41" i="16"/>
  <c r="AE38" i="16" s="1"/>
  <c r="AD40" i="16"/>
  <c r="T8" i="16"/>
  <c r="G12" i="16"/>
  <c r="F5" i="16"/>
  <c r="F6" i="16" s="1"/>
  <c r="F7" i="16" s="1"/>
  <c r="F8" i="16" s="1"/>
  <c r="F9" i="16" s="1"/>
  <c r="F10" i="16" s="1"/>
  <c r="F11" i="16" s="1"/>
  <c r="F12" i="16" s="1"/>
  <c r="F13" i="16" s="1"/>
  <c r="F14" i="16" s="1"/>
  <c r="F15" i="16" s="1"/>
  <c r="F16" i="16" s="1"/>
  <c r="F17" i="16" s="1"/>
  <c r="F18" i="16" s="1"/>
  <c r="F19" i="16" s="1"/>
  <c r="F20" i="16" s="1"/>
  <c r="F21" i="16" s="1"/>
  <c r="F22" i="16" s="1"/>
  <c r="F23" i="16" s="1"/>
  <c r="F24" i="16" s="1"/>
  <c r="K9" i="16" s="1"/>
  <c r="L9" i="16" s="1"/>
  <c r="L10" i="16" s="1"/>
  <c r="S27" i="16" s="1"/>
  <c r="C12" i="16"/>
  <c r="AD44" i="16"/>
  <c r="AD43" i="16"/>
  <c r="AD42" i="16"/>
  <c r="Q19" i="16"/>
  <c r="Q18" i="16"/>
  <c r="Q17" i="16"/>
  <c r="Q16" i="16"/>
  <c r="Q21" i="16" s="1"/>
  <c r="R30" i="16" s="1"/>
  <c r="Z8" i="16"/>
  <c r="W13" i="16" s="1"/>
  <c r="R8" i="16"/>
  <c r="B5" i="16"/>
  <c r="B6" i="16" s="1"/>
  <c r="B7" i="16" s="1"/>
  <c r="B8" i="16" s="1"/>
  <c r="B9" i="16" s="1"/>
  <c r="B10" i="16" s="1"/>
  <c r="B11" i="16" s="1"/>
  <c r="B12" i="16" s="1"/>
  <c r="B13" i="16" s="1"/>
  <c r="B14" i="16" s="1"/>
  <c r="B15" i="16" s="1"/>
  <c r="B16" i="16" s="1"/>
  <c r="B17" i="16" s="1"/>
  <c r="B18" i="16" s="1"/>
  <c r="B19" i="16" s="1"/>
  <c r="B20" i="16" s="1"/>
  <c r="B21" i="16" s="1"/>
  <c r="B22" i="16" s="1"/>
  <c r="B23" i="16" s="1"/>
  <c r="B24" i="16" s="1"/>
  <c r="K7" i="16" s="1"/>
  <c r="L7" i="16" s="1"/>
  <c r="L8" i="16" s="1"/>
  <c r="R27" i="16" s="1"/>
  <c r="P42" i="16" s="1"/>
  <c r="D11" i="14"/>
  <c r="D11" i="15"/>
  <c r="Z28" i="15"/>
  <c r="AA28" i="15" s="1"/>
  <c r="M19" i="15"/>
  <c r="M18" i="15"/>
  <c r="M17" i="15"/>
  <c r="M16" i="15"/>
  <c r="V8" i="15"/>
  <c r="N8" i="15"/>
  <c r="B5" i="15"/>
  <c r="B6" i="15" s="1"/>
  <c r="B7" i="15" s="1"/>
  <c r="B8" i="15" s="1"/>
  <c r="B9" i="15" s="1"/>
  <c r="B10" i="15" s="1"/>
  <c r="B11" i="15" s="1"/>
  <c r="B12" i="15" s="1"/>
  <c r="B13" i="15" s="1"/>
  <c r="B14" i="15" s="1"/>
  <c r="B15" i="15" s="1"/>
  <c r="B16" i="15" s="1"/>
  <c r="B17" i="15" s="1"/>
  <c r="B18" i="15" s="1"/>
  <c r="B19" i="15" s="1"/>
  <c r="B20" i="15" s="1"/>
  <c r="B21" i="15" s="1"/>
  <c r="B22" i="15" s="1"/>
  <c r="B23" i="15" s="1"/>
  <c r="B24" i="15" s="1"/>
  <c r="G7" i="15" s="1"/>
  <c r="H7" i="15" s="1"/>
  <c r="H8" i="15" s="1"/>
  <c r="N27" i="15" s="1"/>
  <c r="Z28" i="14"/>
  <c r="AA28" i="14" s="1"/>
  <c r="AA30" i="14" s="1"/>
  <c r="Z30" i="14" s="1"/>
  <c r="M19" i="14"/>
  <c r="M18" i="14"/>
  <c r="M17" i="14"/>
  <c r="M16" i="14"/>
  <c r="V8" i="14"/>
  <c r="N8" i="14"/>
  <c r="B5" i="14"/>
  <c r="B6" i="14" s="1"/>
  <c r="B7" i="14" s="1"/>
  <c r="B8" i="14" s="1"/>
  <c r="B9" i="14" s="1"/>
  <c r="B10" i="14" s="1"/>
  <c r="B11" i="14" s="1"/>
  <c r="B12" i="14" s="1"/>
  <c r="B13" i="14" s="1"/>
  <c r="B14" i="14" s="1"/>
  <c r="B15" i="14" s="1"/>
  <c r="B16" i="14" s="1"/>
  <c r="B17" i="14" s="1"/>
  <c r="B18" i="14" s="1"/>
  <c r="B19" i="14" s="1"/>
  <c r="B20" i="14" s="1"/>
  <c r="B21" i="14" s="1"/>
  <c r="B22" i="14" s="1"/>
  <c r="B23" i="14" s="1"/>
  <c r="B24" i="14" s="1"/>
  <c r="G7" i="14" s="1"/>
  <c r="H7" i="14" s="1"/>
  <c r="H8" i="14" s="1"/>
  <c r="N27" i="14" s="1"/>
  <c r="D11" i="13"/>
  <c r="Z28" i="13"/>
  <c r="AA28" i="13" s="1"/>
  <c r="M19" i="13"/>
  <c r="M18" i="13"/>
  <c r="M17" i="13"/>
  <c r="M16" i="13"/>
  <c r="V8" i="13"/>
  <c r="N8" i="13"/>
  <c r="B5" i="13"/>
  <c r="B6" i="13" s="1"/>
  <c r="B7" i="13" s="1"/>
  <c r="B8" i="13" s="1"/>
  <c r="B9" i="13" s="1"/>
  <c r="B10" i="13" s="1"/>
  <c r="B11" i="13" s="1"/>
  <c r="B12" i="13" s="1"/>
  <c r="B13" i="13" s="1"/>
  <c r="B14" i="13" s="1"/>
  <c r="B15" i="13" s="1"/>
  <c r="B16" i="13" s="1"/>
  <c r="B17" i="13" s="1"/>
  <c r="B18" i="13" s="1"/>
  <c r="B19" i="13" s="1"/>
  <c r="B20" i="13" s="1"/>
  <c r="B21" i="13" s="1"/>
  <c r="B22" i="13" s="1"/>
  <c r="B23" i="13" s="1"/>
  <c r="B24" i="13" s="1"/>
  <c r="G7" i="13" s="1"/>
  <c r="H7" i="13" s="1"/>
  <c r="H8" i="13" s="1"/>
  <c r="N27" i="13" s="1"/>
  <c r="D11" i="11"/>
  <c r="Z28" i="11"/>
  <c r="AA28" i="11" s="1"/>
  <c r="M19" i="11"/>
  <c r="M18" i="11"/>
  <c r="M17" i="11"/>
  <c r="M16" i="11"/>
  <c r="M21" i="11" s="1"/>
  <c r="N30" i="11" s="1"/>
  <c r="V8" i="11"/>
  <c r="N8" i="11"/>
  <c r="B5" i="11"/>
  <c r="B6" i="11" s="1"/>
  <c r="B7" i="11" s="1"/>
  <c r="B8" i="11" s="1"/>
  <c r="B9" i="11" s="1"/>
  <c r="B10" i="11" s="1"/>
  <c r="B11" i="11" s="1"/>
  <c r="B12" i="11" s="1"/>
  <c r="B13" i="11" s="1"/>
  <c r="B14" i="11" s="1"/>
  <c r="B15" i="11" s="1"/>
  <c r="B16" i="11" s="1"/>
  <c r="B17" i="11" s="1"/>
  <c r="B18" i="11" s="1"/>
  <c r="B19" i="11" s="1"/>
  <c r="B20" i="11" s="1"/>
  <c r="B21" i="11" s="1"/>
  <c r="B22" i="11" s="1"/>
  <c r="B23" i="11" s="1"/>
  <c r="B24" i="11" s="1"/>
  <c r="G7" i="11" s="1"/>
  <c r="H7" i="11" s="1"/>
  <c r="H8" i="11" s="1"/>
  <c r="N27" i="11" s="1"/>
  <c r="D12" i="12"/>
  <c r="Z39" i="12"/>
  <c r="Z38" i="12"/>
  <c r="Z37" i="12"/>
  <c r="AA37" i="12" s="1"/>
  <c r="AB40" i="12" s="1"/>
  <c r="Z42" i="12" s="1"/>
  <c r="M19" i="12"/>
  <c r="M18" i="12"/>
  <c r="M17" i="12"/>
  <c r="M16" i="12"/>
  <c r="M21" i="12" s="1"/>
  <c r="N30" i="12" s="1"/>
  <c r="V8" i="12"/>
  <c r="N8" i="12"/>
  <c r="B5" i="12"/>
  <c r="B6" i="12" s="1"/>
  <c r="B7" i="12" s="1"/>
  <c r="B8" i="12" s="1"/>
  <c r="B9" i="12" s="1"/>
  <c r="B10" i="12" s="1"/>
  <c r="B11" i="12" s="1"/>
  <c r="B12" i="12" s="1"/>
  <c r="B13" i="12" s="1"/>
  <c r="B14" i="12" s="1"/>
  <c r="B15" i="12" s="1"/>
  <c r="B16" i="12" s="1"/>
  <c r="B17" i="12" s="1"/>
  <c r="B18" i="12" s="1"/>
  <c r="B19" i="12" s="1"/>
  <c r="B20" i="12" s="1"/>
  <c r="B21" i="12" s="1"/>
  <c r="B22" i="12" s="1"/>
  <c r="B23" i="12" s="1"/>
  <c r="B24" i="12" s="1"/>
  <c r="G7" i="12" s="1"/>
  <c r="H7" i="12" s="1"/>
  <c r="H8" i="12" s="1"/>
  <c r="N27" i="12" s="1"/>
  <c r="D12" i="10"/>
  <c r="Z39" i="10"/>
  <c r="Z38" i="10"/>
  <c r="Z37" i="10"/>
  <c r="M19" i="10"/>
  <c r="M18" i="10"/>
  <c r="M17" i="10"/>
  <c r="M16" i="10"/>
  <c r="V8" i="10"/>
  <c r="N8" i="10"/>
  <c r="B5" i="10"/>
  <c r="B6" i="10" s="1"/>
  <c r="B7" i="10" s="1"/>
  <c r="B8" i="10" s="1"/>
  <c r="B9" i="10" s="1"/>
  <c r="B10" i="10" s="1"/>
  <c r="B11" i="10" s="1"/>
  <c r="B12" i="10" s="1"/>
  <c r="B13" i="10" s="1"/>
  <c r="B14" i="10" s="1"/>
  <c r="B15" i="10" s="1"/>
  <c r="B16" i="10" s="1"/>
  <c r="B17" i="10" s="1"/>
  <c r="B18" i="10" s="1"/>
  <c r="B19" i="10" s="1"/>
  <c r="B20" i="10" s="1"/>
  <c r="B21" i="10" s="1"/>
  <c r="B22" i="10" s="1"/>
  <c r="B23" i="10" s="1"/>
  <c r="B24" i="10" s="1"/>
  <c r="G7" i="10" s="1"/>
  <c r="H7" i="10" s="1"/>
  <c r="H8" i="10" s="1"/>
  <c r="N27" i="10" s="1"/>
  <c r="D12" i="9"/>
  <c r="Z39" i="9"/>
  <c r="Z38" i="9"/>
  <c r="Z37" i="9"/>
  <c r="AA37" i="9" s="1"/>
  <c r="AB40" i="9" s="1"/>
  <c r="Z42" i="9" s="1"/>
  <c r="M19" i="9"/>
  <c r="M18" i="9"/>
  <c r="M17" i="9"/>
  <c r="M16" i="9"/>
  <c r="V8" i="9"/>
  <c r="N8" i="9"/>
  <c r="B5" i="9"/>
  <c r="B6" i="9" s="1"/>
  <c r="B7" i="9" s="1"/>
  <c r="B8" i="9" s="1"/>
  <c r="B9" i="9" s="1"/>
  <c r="B10" i="9" s="1"/>
  <c r="B11" i="9" s="1"/>
  <c r="B12" i="9" s="1"/>
  <c r="B13" i="9" s="1"/>
  <c r="B14" i="9" s="1"/>
  <c r="B15" i="9" s="1"/>
  <c r="B16" i="9" s="1"/>
  <c r="B17" i="9" s="1"/>
  <c r="B18" i="9" s="1"/>
  <c r="B19" i="9" s="1"/>
  <c r="B20" i="9" s="1"/>
  <c r="B21" i="9" s="1"/>
  <c r="B22" i="9" s="1"/>
  <c r="B23" i="9" s="1"/>
  <c r="B24" i="9" s="1"/>
  <c r="G7" i="9" s="1"/>
  <c r="H7" i="9" s="1"/>
  <c r="H8" i="9" s="1"/>
  <c r="N27" i="9" s="1"/>
  <c r="S31" i="16" l="1"/>
  <c r="S63" i="16"/>
  <c r="S42" i="16"/>
  <c r="M21" i="14"/>
  <c r="N30" i="14" s="1"/>
  <c r="N31" i="14" s="1"/>
  <c r="M21" i="15"/>
  <c r="N30" i="15" s="1"/>
  <c r="M21" i="17"/>
  <c r="N30" i="17" s="1"/>
  <c r="M21" i="9"/>
  <c r="N30" i="9" s="1"/>
  <c r="M21" i="10"/>
  <c r="N30" i="10" s="1"/>
  <c r="N31" i="10" s="1"/>
  <c r="M21" i="13"/>
  <c r="N30" i="13" s="1"/>
  <c r="L63" i="17"/>
  <c r="L42" i="17"/>
  <c r="N31" i="17"/>
  <c r="AB40" i="17"/>
  <c r="Z44" i="17" s="1"/>
  <c r="AB39" i="17"/>
  <c r="Z43" i="17" s="1"/>
  <c r="AB38" i="17"/>
  <c r="Z42" i="17" s="1"/>
  <c r="S12" i="17"/>
  <c r="AF40" i="16"/>
  <c r="AD46" i="16" s="1"/>
  <c r="P63" i="16"/>
  <c r="R31" i="16"/>
  <c r="AF39" i="16"/>
  <c r="AD45" i="16" s="1"/>
  <c r="W12" i="16"/>
  <c r="L42" i="15"/>
  <c r="L63" i="15"/>
  <c r="N31" i="15"/>
  <c r="AA30" i="15"/>
  <c r="Z30" i="15" s="1"/>
  <c r="AA31" i="15"/>
  <c r="Z31" i="15" s="1"/>
  <c r="AA29" i="15"/>
  <c r="Z29" i="15" s="1"/>
  <c r="S12" i="15"/>
  <c r="L42" i="14"/>
  <c r="L63" i="14"/>
  <c r="S12" i="14"/>
  <c r="AA29" i="14"/>
  <c r="Z29" i="14" s="1"/>
  <c r="AA31" i="14"/>
  <c r="Z31" i="14" s="1"/>
  <c r="L42" i="13"/>
  <c r="L63" i="13"/>
  <c r="N31" i="13"/>
  <c r="AA30" i="13"/>
  <c r="Z30" i="13" s="1"/>
  <c r="AA31" i="13"/>
  <c r="Z31" i="13" s="1"/>
  <c r="AA29" i="13"/>
  <c r="Z29" i="13" s="1"/>
  <c r="S12" i="13"/>
  <c r="L42" i="11"/>
  <c r="L63" i="11"/>
  <c r="N31" i="11"/>
  <c r="AA30" i="11"/>
  <c r="Z30" i="11" s="1"/>
  <c r="AA31" i="11"/>
  <c r="Z31" i="11" s="1"/>
  <c r="AA29" i="11"/>
  <c r="Z29" i="11" s="1"/>
  <c r="S12" i="11"/>
  <c r="L63" i="12"/>
  <c r="L42" i="12"/>
  <c r="N31" i="12"/>
  <c r="S12" i="12"/>
  <c r="AB38" i="12"/>
  <c r="Z40" i="12" s="1"/>
  <c r="AB39" i="12"/>
  <c r="Z41" i="12" s="1"/>
  <c r="AA37" i="10"/>
  <c r="AB40" i="10" s="1"/>
  <c r="Z42" i="10" s="1"/>
  <c r="L63" i="10"/>
  <c r="L42" i="10"/>
  <c r="AB38" i="10"/>
  <c r="Z40" i="10" s="1"/>
  <c r="L63" i="9"/>
  <c r="L42" i="9"/>
  <c r="N31" i="9"/>
  <c r="AB38" i="9"/>
  <c r="Z40" i="9" s="1"/>
  <c r="AB39" i="9"/>
  <c r="Z41" i="9" s="1"/>
  <c r="S12" i="10" l="1"/>
  <c r="S12" i="9"/>
  <c r="AB39" i="10"/>
  <c r="Z41" i="10" s="1"/>
  <c r="AF41" i="16"/>
  <c r="AD47" i="16" s="1"/>
  <c r="D12" i="4"/>
  <c r="Z37" i="4"/>
  <c r="Z36" i="4"/>
  <c r="Z35" i="4"/>
  <c r="AC33" i="4"/>
  <c r="M19" i="4"/>
  <c r="M18" i="4"/>
  <c r="M17" i="4"/>
  <c r="M16" i="4"/>
  <c r="V8" i="4"/>
  <c r="N8" i="4"/>
  <c r="B5" i="4"/>
  <c r="B6" i="4" s="1"/>
  <c r="B7" i="4" s="1"/>
  <c r="B8" i="4" s="1"/>
  <c r="B9" i="4" s="1"/>
  <c r="B10" i="4" s="1"/>
  <c r="B11" i="4" s="1"/>
  <c r="B12" i="4" s="1"/>
  <c r="B13" i="4" s="1"/>
  <c r="B14" i="4" s="1"/>
  <c r="B15" i="4" s="1"/>
  <c r="B16" i="4" s="1"/>
  <c r="B17" i="4" s="1"/>
  <c r="B18" i="4" s="1"/>
  <c r="B19" i="4" s="1"/>
  <c r="B20" i="4" s="1"/>
  <c r="B21" i="4" s="1"/>
  <c r="B22" i="4" s="1"/>
  <c r="B23" i="4" s="1"/>
  <c r="B24" i="4" s="1"/>
  <c r="G7" i="4" s="1"/>
  <c r="H7" i="4" s="1"/>
  <c r="H8" i="4" s="1"/>
  <c r="N27" i="4" s="1"/>
  <c r="M21" i="4" l="1"/>
  <c r="N30" i="4" s="1"/>
  <c r="AA35" i="4"/>
  <c r="AB38" i="4" s="1"/>
  <c r="Z40" i="4" s="1"/>
  <c r="S12" i="4"/>
  <c r="L42" i="4"/>
  <c r="N31" i="4"/>
  <c r="L63" i="4"/>
  <c r="AB36" i="4"/>
  <c r="Z38" i="4" s="1"/>
  <c r="AB37" i="4"/>
  <c r="Z39" i="4" s="1"/>
</calcChain>
</file>

<file path=xl/comments1.xml><?xml version="1.0" encoding="utf-8"?>
<comments xmlns="http://schemas.openxmlformats.org/spreadsheetml/2006/main">
  <authors>
    <author>Usuario</author>
  </authors>
  <commentList>
    <comment ref="E6" authorId="0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Coeficiente do mês de maior consumo</t>
        </r>
      </text>
    </comment>
    <comment ref="F6" authorId="0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Consumo per capta</t>
        </r>
      </text>
    </comment>
    <comment ref="G6" authorId="0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População estimada para 20 anos</t>
        </r>
      </text>
    </comment>
    <comment ref="H6" authorId="0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Vazão demandada</t>
        </r>
      </text>
    </comment>
  </commentList>
</comments>
</file>

<file path=xl/comments10.xml><?xml version="1.0" encoding="utf-8"?>
<comments xmlns="http://schemas.openxmlformats.org/spreadsheetml/2006/main">
  <authors>
    <author>Usuario</author>
  </authors>
  <commentList>
    <comment ref="E6" authorId="0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Coeficiente do mês de maior consumo</t>
        </r>
      </text>
    </comment>
    <comment ref="F6" authorId="0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Consumo per capta</t>
        </r>
      </text>
    </comment>
    <comment ref="G6" authorId="0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População estimada para 20 anos</t>
        </r>
      </text>
    </comment>
    <comment ref="H6" authorId="0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Vazão demandada</t>
        </r>
      </text>
    </comment>
  </commentList>
</comments>
</file>

<file path=xl/comments2.xml><?xml version="1.0" encoding="utf-8"?>
<comments xmlns="http://schemas.openxmlformats.org/spreadsheetml/2006/main">
  <authors>
    <author>Usuario</author>
  </authors>
  <commentList>
    <comment ref="E6" authorId="0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Coeficiente do mês de maior consumo</t>
        </r>
      </text>
    </comment>
    <comment ref="F6" authorId="0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Consumo per capta</t>
        </r>
      </text>
    </comment>
    <comment ref="G6" authorId="0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População estimada para 20 anos</t>
        </r>
      </text>
    </comment>
    <comment ref="H6" authorId="0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Vazão demandada</t>
        </r>
      </text>
    </comment>
  </commentList>
</comments>
</file>

<file path=xl/comments3.xml><?xml version="1.0" encoding="utf-8"?>
<comments xmlns="http://schemas.openxmlformats.org/spreadsheetml/2006/main">
  <authors>
    <author>Usuario</author>
  </authors>
  <commentList>
    <comment ref="E6" authorId="0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Coeficiente do mês de maior consumo</t>
        </r>
      </text>
    </comment>
    <comment ref="F6" authorId="0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Consumo per capta</t>
        </r>
      </text>
    </comment>
    <comment ref="G6" authorId="0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População estimada para 20 anos</t>
        </r>
      </text>
    </comment>
    <comment ref="H6" authorId="0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Vazão demandada</t>
        </r>
      </text>
    </comment>
  </commentList>
</comments>
</file>

<file path=xl/comments4.xml><?xml version="1.0" encoding="utf-8"?>
<comments xmlns="http://schemas.openxmlformats.org/spreadsheetml/2006/main">
  <authors>
    <author>Usuario</author>
  </authors>
  <commentList>
    <comment ref="E6" authorId="0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Coeficiente do mês de maior consumo</t>
        </r>
      </text>
    </comment>
    <comment ref="F6" authorId="0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Consumo per capta</t>
        </r>
      </text>
    </comment>
    <comment ref="G6" authorId="0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População estimada para 20 anos</t>
        </r>
      </text>
    </comment>
    <comment ref="H6" authorId="0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Vazão demandada</t>
        </r>
      </text>
    </comment>
  </commentList>
</comments>
</file>

<file path=xl/comments5.xml><?xml version="1.0" encoding="utf-8"?>
<comments xmlns="http://schemas.openxmlformats.org/spreadsheetml/2006/main">
  <authors>
    <author>Usuario</author>
  </authors>
  <commentList>
    <comment ref="E6" authorId="0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Coeficiente do mês de maior consumo</t>
        </r>
      </text>
    </comment>
    <comment ref="F6" authorId="0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Consumo per capta</t>
        </r>
      </text>
    </comment>
    <comment ref="G6" authorId="0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População estimada para 20 anos</t>
        </r>
      </text>
    </comment>
    <comment ref="H6" authorId="0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Vazão demandada</t>
        </r>
      </text>
    </comment>
  </commentList>
</comments>
</file>

<file path=xl/comments6.xml><?xml version="1.0" encoding="utf-8"?>
<comments xmlns="http://schemas.openxmlformats.org/spreadsheetml/2006/main">
  <authors>
    <author>Usuario</author>
  </authors>
  <commentList>
    <comment ref="E6" authorId="0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Coeficiente do mês de maior consumo</t>
        </r>
      </text>
    </comment>
    <comment ref="F6" authorId="0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Consumo per capta</t>
        </r>
      </text>
    </comment>
    <comment ref="G6" authorId="0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População estimada para 20 anos</t>
        </r>
      </text>
    </comment>
    <comment ref="H6" authorId="0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Vazão demandada</t>
        </r>
      </text>
    </comment>
  </commentList>
</comments>
</file>

<file path=xl/comments7.xml><?xml version="1.0" encoding="utf-8"?>
<comments xmlns="http://schemas.openxmlformats.org/spreadsheetml/2006/main">
  <authors>
    <author>Usuario</author>
  </authors>
  <commentList>
    <comment ref="E6" authorId="0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Coeficiente do mês de maior consumo</t>
        </r>
      </text>
    </comment>
    <comment ref="F6" authorId="0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Consumo per capta</t>
        </r>
      </text>
    </comment>
    <comment ref="G6" authorId="0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População estimada para 20 anos</t>
        </r>
      </text>
    </comment>
    <comment ref="H6" authorId="0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Vazão demandada</t>
        </r>
      </text>
    </comment>
  </commentList>
</comments>
</file>

<file path=xl/comments8.xml><?xml version="1.0" encoding="utf-8"?>
<comments xmlns="http://schemas.openxmlformats.org/spreadsheetml/2006/main">
  <authors>
    <author>Usuario</author>
  </authors>
  <commentList>
    <comment ref="E6" authorId="0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Coeficiente do mês de maior consumo</t>
        </r>
      </text>
    </comment>
    <comment ref="F6" authorId="0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Consumo per capta</t>
        </r>
      </text>
    </comment>
    <comment ref="G6" authorId="0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População estimada para 20 anos</t>
        </r>
      </text>
    </comment>
    <comment ref="H6" authorId="0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Vazão demandada</t>
        </r>
      </text>
    </comment>
  </commentList>
</comments>
</file>

<file path=xl/comments9.xml><?xml version="1.0" encoding="utf-8"?>
<comments xmlns="http://schemas.openxmlformats.org/spreadsheetml/2006/main">
  <authors>
    <author>Usuario</author>
  </authors>
  <commentList>
    <comment ref="I6" authorId="0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Coeficiente do mês de maior consumo</t>
        </r>
      </text>
    </comment>
    <comment ref="J6" authorId="0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Consumo per capta</t>
        </r>
      </text>
    </comment>
    <comment ref="K6" authorId="0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População estimada para 20 anos</t>
        </r>
      </text>
    </comment>
    <comment ref="L6" authorId="0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Vazão demandada</t>
        </r>
      </text>
    </comment>
  </commentList>
</comments>
</file>

<file path=xl/sharedStrings.xml><?xml version="1.0" encoding="utf-8"?>
<sst xmlns="http://schemas.openxmlformats.org/spreadsheetml/2006/main" count="1260" uniqueCount="129">
  <si>
    <t>Ano</t>
  </si>
  <si>
    <t>População</t>
  </si>
  <si>
    <t>Previsão da população</t>
  </si>
  <si>
    <t>Cálculo do Consumo Específico</t>
  </si>
  <si>
    <t>K1</t>
  </si>
  <si>
    <t>q</t>
  </si>
  <si>
    <t>P</t>
  </si>
  <si>
    <t>Q</t>
  </si>
  <si>
    <t>Dimensionamento de adutora de recalque simples</t>
  </si>
  <si>
    <t>Calculo de perda de carga unitária</t>
  </si>
  <si>
    <t>J= Perda de carga unitária</t>
  </si>
  <si>
    <r>
      <rPr>
        <sz val="11"/>
        <color theme="1"/>
        <rFont val="Symbol"/>
        <family val="1"/>
        <charset val="2"/>
      </rPr>
      <t>D</t>
    </r>
    <r>
      <rPr>
        <sz val="11"/>
        <color theme="1"/>
        <rFont val="Calibri"/>
        <family val="2"/>
        <scheme val="minor"/>
      </rPr>
      <t>h = Diferença de nivel do poço a caixa</t>
    </r>
  </si>
  <si>
    <t>L = Comprimento da adutora</t>
  </si>
  <si>
    <t>m/m</t>
  </si>
  <si>
    <t>m</t>
  </si>
  <si>
    <t>Calculo de Perda de carga localizada (comprimentos equivalentes)</t>
  </si>
  <si>
    <t>Peças</t>
  </si>
  <si>
    <t>Quantidade</t>
  </si>
  <si>
    <t>C. Eq. (m)</t>
  </si>
  <si>
    <t>Total</t>
  </si>
  <si>
    <t>Registro de gaveta</t>
  </si>
  <si>
    <t>Válvula de retenção</t>
  </si>
  <si>
    <t>Curva de 90º</t>
  </si>
  <si>
    <t>Curva de 45º</t>
  </si>
  <si>
    <t>∑</t>
  </si>
  <si>
    <t>C = Coeficiente de rugosidade da tubulação</t>
  </si>
  <si>
    <t>D = diametro da tubulação (m)</t>
  </si>
  <si>
    <t>Q = Vazão (m3/s)</t>
  </si>
  <si>
    <t>L = Comprimento equivalente (m)</t>
  </si>
  <si>
    <t>J loc = perda de carga localizada</t>
  </si>
  <si>
    <t>Calculo do diametro da adutora</t>
  </si>
  <si>
    <t>D =</t>
  </si>
  <si>
    <t>Dimensionamento de Encanamento de recalque em razão da quantidade de horas que o equipamento estará em uso</t>
  </si>
  <si>
    <t>Com o auxílio da equação de Bresse modificada:</t>
  </si>
  <si>
    <t xml:space="preserve"> </t>
  </si>
  <si>
    <t>K = 1,2;</t>
  </si>
  <si>
    <t>Q = vazão em m³/s.</t>
  </si>
  <si>
    <t>n= nº de horas que o sistema estará em funcionamento, no nosso caso o sistema de abastecimento com conveniência está funcionando das 18 às 06h, ou seja, na razão de doze horas por dia.</t>
  </si>
  <si>
    <t>Q=vazão necessária para atendimento da população e dos empreendimentos locais, onde usaremos Q=0,002785 m³/s</t>
  </si>
  <si>
    <t>B =  12/24</t>
  </si>
  <si>
    <t xml:space="preserve">K = </t>
  </si>
  <si>
    <t>Dimensionamento da Bomba</t>
  </si>
  <si>
    <t>P = potencia da Bomba</t>
  </si>
  <si>
    <r>
      <rPr>
        <sz val="11"/>
        <color theme="1"/>
        <rFont val="Symbol"/>
        <family val="1"/>
        <charset val="2"/>
      </rPr>
      <t xml:space="preserve">g = </t>
    </r>
    <r>
      <rPr>
        <sz val="11"/>
        <color theme="1"/>
        <rFont val="Calibri"/>
        <family val="2"/>
        <scheme val="minor"/>
      </rPr>
      <t>densidade espacifica da água</t>
    </r>
  </si>
  <si>
    <t>Q = vazão requerida</t>
  </si>
  <si>
    <t>Hm = Altura manometrica</t>
  </si>
  <si>
    <t>p =</t>
  </si>
  <si>
    <t>CV</t>
  </si>
  <si>
    <r>
      <rPr>
        <sz val="11"/>
        <color theme="1"/>
        <rFont val="Symbol"/>
        <family val="1"/>
        <charset val="2"/>
      </rPr>
      <t>h</t>
    </r>
    <r>
      <rPr>
        <sz val="11"/>
        <color theme="1"/>
        <rFont val="Calibri"/>
        <family val="2"/>
      </rPr>
      <t xml:space="preserve"> = rendimento da bomba</t>
    </r>
  </si>
  <si>
    <t>Material</t>
  </si>
  <si>
    <t>Cimento</t>
  </si>
  <si>
    <t>Areia lavada</t>
  </si>
  <si>
    <t>Tela hexagonal 1/2"-fio 24</t>
  </si>
  <si>
    <t>Arame recozido</t>
  </si>
  <si>
    <t>Cimbramento em pontaletes de madeira</t>
  </si>
  <si>
    <t>Unidade</t>
  </si>
  <si>
    <t>und</t>
  </si>
  <si>
    <t>Sc</t>
  </si>
  <si>
    <t>m³</t>
  </si>
  <si>
    <t>Kg</t>
  </si>
  <si>
    <t>m²</t>
  </si>
  <si>
    <t>INSUMOS</t>
  </si>
  <si>
    <t>Material adutora e distribuição</t>
  </si>
  <si>
    <t>SERVIÇOS</t>
  </si>
  <si>
    <t>Assentamento de tubos e conexões de PVC JE DN 50</t>
  </si>
  <si>
    <t>Assentamento de tubos e conexões PVC JS DN 25 mm</t>
  </si>
  <si>
    <t xml:space="preserve">Pedreiro </t>
  </si>
  <si>
    <t>Armador</t>
  </si>
  <si>
    <t>Servente</t>
  </si>
  <si>
    <t>h</t>
  </si>
  <si>
    <t>Escavação manual em solo profundidade até 1,50 m (1x 0,8x0,6) 20%</t>
  </si>
  <si>
    <t>Q 92 - TELA EM ACO SOLDADA - MALHA 15 x 15 cm - FIO ∅ 4,2 mm</t>
  </si>
  <si>
    <t>Montagem e instalação de poço tubular profundo, diâmetro da tubulação de extração de 4", profundidade de instalação da bomba entre 60 m a 120 m</t>
  </si>
  <si>
    <t>Bomba submersa</t>
  </si>
  <si>
    <t>Escavação mecânica de valas (solo seco), profundidade até 1,50 m (1x 0,8x0,6) 75%</t>
  </si>
  <si>
    <t>Escavação e carga mecânica de valas, rocha branda, à frio</t>
  </si>
  <si>
    <t>Caixa de passagem em alvenaria (0,30 X 0,30 X 0,30 m)</t>
  </si>
  <si>
    <t>Armação em barra de aço 4,2 mm</t>
  </si>
  <si>
    <t>Reservatórios: 1 Caixas d'água de ferrocimento (100 m³)</t>
  </si>
  <si>
    <t>Assentamento de tubos e conexões PVC JS DN 32 mm</t>
  </si>
  <si>
    <t>Tubo BPA 50 mm classe 12</t>
  </si>
  <si>
    <t>Reservatórios: 1 Caixas d'água de ferrocimento (50 m³)</t>
  </si>
  <si>
    <t>Adaptador PVC BSA PBA x PTA FOFO 50 mm</t>
  </si>
  <si>
    <t>CAP 50 mm</t>
  </si>
  <si>
    <t>Conexão T PBA 50 mm</t>
  </si>
  <si>
    <t>Bucha c/ redução 50 x 25 PVC</t>
  </si>
  <si>
    <t>Bucha c/ redução 32 x 25 PVC</t>
  </si>
  <si>
    <t>Tubo PVC 32 mm Classe 12</t>
  </si>
  <si>
    <t>Tubo PVC 25 mm Classe 12</t>
  </si>
  <si>
    <t>Flange 50 mm</t>
  </si>
  <si>
    <t>Curva de 45º PBA</t>
  </si>
  <si>
    <t xml:space="preserve">Curva de 90º PBA </t>
  </si>
  <si>
    <t>Junco</t>
  </si>
  <si>
    <t>Bucha c/ redução 50 x 32 PVC</t>
  </si>
  <si>
    <t>Brejão</t>
  </si>
  <si>
    <t>Pinhão Mocó</t>
  </si>
  <si>
    <t>Riacho das Areias</t>
  </si>
  <si>
    <t>Jacu Jiboia</t>
  </si>
  <si>
    <t>Riacho das Pedras</t>
  </si>
  <si>
    <t>Tubo BPA 75 mm classe 12</t>
  </si>
  <si>
    <t>Cabeceiras</t>
  </si>
  <si>
    <t>Varzea da Conceição</t>
  </si>
  <si>
    <t>Reservatórios: 1 Caixas d'água de ferrocimento(50 m³)</t>
  </si>
  <si>
    <t>Tubo BPA 100 mm classe 12</t>
  </si>
  <si>
    <t>Flange 100 mm</t>
  </si>
  <si>
    <t>Conexão T PBA 100 mm</t>
  </si>
  <si>
    <t>Caixa de passagem em alvenaria (0,40 X 0,40 X 0,40 m)</t>
  </si>
  <si>
    <t>Lagoa do Sitio (adutora 1)</t>
  </si>
  <si>
    <t>Tubo BPA 100 mm classe 12 Adutora 1</t>
  </si>
  <si>
    <t>AD 1</t>
  </si>
  <si>
    <t>AD2</t>
  </si>
  <si>
    <t>AD 2</t>
  </si>
  <si>
    <t>p=</t>
  </si>
  <si>
    <t>Reservatórios: 2 Caixas d'água de ferrocimento (100 m³)</t>
  </si>
  <si>
    <t>Assentamento de tubos e conexões PVC JS DN 150 mm</t>
  </si>
  <si>
    <t>Assentamento de tubos e conexões PVC JS DN 100 mm</t>
  </si>
  <si>
    <t>Bomba submersa 16 HP</t>
  </si>
  <si>
    <t>Bomba submersa 22,5 HP</t>
  </si>
  <si>
    <t>Pedra Redonda</t>
  </si>
  <si>
    <t>Tubo PVC 150 mm classe 12 Adutora 2</t>
  </si>
  <si>
    <t>Assentamento de tubos e conexões de PVC JE DN 100</t>
  </si>
  <si>
    <t>Registro de gaveta (2 x 100mm) (7 x 50mm)</t>
  </si>
  <si>
    <t>Válvula de retenção (100 mm)</t>
  </si>
  <si>
    <t>Válvula de retenção (2 x 100 mm)</t>
  </si>
  <si>
    <t>Registro de gaveta  (2 x 100mm) (7 x 50mm)</t>
  </si>
  <si>
    <t>Registro de gaveta 100 mm</t>
  </si>
  <si>
    <t>Válvula de retenção 100 mm</t>
  </si>
  <si>
    <t>Registro de gaveta 75 mm</t>
  </si>
  <si>
    <t>Válvula de retenção 75 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</si>
</sst>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00"/>
  </numFmts>
  <fonts count="11" x14ac:knownFonts="1">
    <font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Symbol"/>
      <family val="1"/>
      <charset val="2"/>
    </font>
    <font>
      <sz val="12"/>
      <color theme="1"/>
      <name val="Arial"/>
      <family val="2"/>
    </font>
    <font>
      <sz val="11"/>
      <color theme="1"/>
      <name val="Calibri"/>
      <family val="2"/>
    </font>
    <font>
      <sz val="14"/>
      <color theme="1"/>
      <name val="Arial"/>
      <family val="2"/>
    </font>
    <font>
      <sz val="11"/>
      <color rgb="FF000000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3" fontId="9" fillId="0" borderId="0"/>
  </cellStyleXfs>
  <cellXfs count="110">
    <xf numFmtId="0" fontId="0" fillId="0" borderId="0" xfId="0"/>
    <xf numFmtId="0" fontId="0" fillId="0" borderId="1" xfId="0" applyBorder="1"/>
    <xf numFmtId="0" fontId="0" fillId="0" borderId="0" xfId="0" applyBorder="1"/>
    <xf numFmtId="164" fontId="0" fillId="0" borderId="0" xfId="0" applyNumberFormat="1" applyBorder="1"/>
    <xf numFmtId="0" fontId="0" fillId="0" borderId="2" xfId="0" applyBorder="1"/>
    <xf numFmtId="0" fontId="1" fillId="0" borderId="4" xfId="0" applyFont="1" applyBorder="1" applyAlignment="1"/>
    <xf numFmtId="165" fontId="0" fillId="0" borderId="0" xfId="0" applyNumberFormat="1"/>
    <xf numFmtId="0" fontId="0" fillId="0" borderId="0" xfId="0" applyFont="1" applyBorder="1" applyAlignment="1">
      <alignment horizontal="justify" vertical="top" wrapText="1"/>
    </xf>
    <xf numFmtId="0" fontId="0" fillId="0" borderId="0" xfId="0" applyFont="1" applyBorder="1" applyAlignment="1">
      <alignment vertical="top" wrapText="1"/>
    </xf>
    <xf numFmtId="0" fontId="6" fillId="0" borderId="0" xfId="0" applyFont="1" applyAlignment="1">
      <alignment horizontal="right"/>
    </xf>
    <xf numFmtId="0" fontId="1" fillId="0" borderId="0" xfId="0" applyFont="1" applyAlignment="1"/>
    <xf numFmtId="0" fontId="5" fillId="0" borderId="0" xfId="0" applyFont="1" applyAlignment="1">
      <alignment horizontal="justify"/>
    </xf>
    <xf numFmtId="0" fontId="7" fillId="0" borderId="0" xfId="0" applyFont="1" applyAlignment="1">
      <alignment horizontal="justify"/>
    </xf>
    <xf numFmtId="0" fontId="0" fillId="0" borderId="0" xfId="0" applyFont="1" applyAlignment="1">
      <alignment horizontal="justify"/>
    </xf>
    <xf numFmtId="0" fontId="5" fillId="0" borderId="0" xfId="0" applyFont="1" applyAlignment="1">
      <alignment vertical="top"/>
    </xf>
    <xf numFmtId="0" fontId="0" fillId="0" borderId="0" xfId="0" applyAlignment="1">
      <alignment vertical="top"/>
    </xf>
    <xf numFmtId="9" fontId="0" fillId="0" borderId="0" xfId="0" applyNumberFormat="1"/>
    <xf numFmtId="164" fontId="0" fillId="2" borderId="0" xfId="0" applyNumberFormat="1" applyFill="1" applyBorder="1"/>
    <xf numFmtId="0" fontId="0" fillId="0" borderId="0" xfId="0" applyFont="1" applyFill="1" applyBorder="1" applyAlignment="1">
      <alignment horizontal="justify" vertical="top" wrapText="1"/>
    </xf>
    <xf numFmtId="0" fontId="0" fillId="0" borderId="0" xfId="0" applyFont="1" applyBorder="1" applyAlignment="1">
      <alignment horizontal="center" vertical="top" wrapText="1"/>
    </xf>
    <xf numFmtId="0" fontId="0" fillId="0" borderId="0" xfId="0" applyFont="1" applyFill="1" applyBorder="1" applyAlignment="1">
      <alignment horizontal="center" vertical="top" wrapText="1"/>
    </xf>
    <xf numFmtId="0" fontId="0" fillId="2" borderId="0" xfId="0" applyFill="1"/>
    <xf numFmtId="0" fontId="0" fillId="0" borderId="0" xfId="0" applyFill="1"/>
    <xf numFmtId="164" fontId="0" fillId="0" borderId="0" xfId="0" applyNumberFormat="1" applyFill="1"/>
    <xf numFmtId="0" fontId="8" fillId="0" borderId="0" xfId="0" applyFont="1"/>
    <xf numFmtId="0" fontId="8" fillId="0" borderId="0" xfId="0" applyFont="1" applyBorder="1" applyAlignment="1">
      <alignment horizontal="justify" vertical="top" wrapText="1"/>
    </xf>
    <xf numFmtId="0" fontId="8" fillId="0" borderId="0" xfId="0" applyFont="1" applyBorder="1" applyAlignment="1">
      <alignment horizontal="justify" wrapText="1"/>
    </xf>
    <xf numFmtId="0" fontId="8" fillId="0" borderId="0" xfId="0" applyFont="1" applyBorder="1" applyAlignment="1">
      <alignment horizontal="right" vertical="top" wrapText="1"/>
    </xf>
    <xf numFmtId="0" fontId="8" fillId="0" borderId="0" xfId="0" applyFont="1" applyFill="1" applyBorder="1" applyAlignment="1">
      <alignment horizontal="justify" vertical="top" wrapText="1"/>
    </xf>
    <xf numFmtId="0" fontId="8" fillId="0" borderId="0" xfId="0" applyFont="1" applyFill="1" applyBorder="1" applyAlignment="1">
      <alignment horizontal="right" vertical="top" wrapText="1"/>
    </xf>
    <xf numFmtId="0" fontId="0" fillId="0" borderId="0" xfId="0" applyAlignment="1">
      <alignment wrapText="1"/>
    </xf>
    <xf numFmtId="0" fontId="0" fillId="0" borderId="0" xfId="0" applyFont="1" applyAlignment="1">
      <alignment horizontal="left"/>
    </xf>
    <xf numFmtId="3" fontId="10" fillId="0" borderId="0" xfId="1" applyFont="1" applyFill="1" applyBorder="1" applyAlignment="1">
      <alignment horizontal="left" vertical="center" wrapText="1"/>
    </xf>
    <xf numFmtId="0" fontId="0" fillId="0" borderId="0" xfId="0" applyAlignment="1">
      <alignment horizontal="left" wrapText="1"/>
    </xf>
    <xf numFmtId="164" fontId="0" fillId="0" borderId="5" xfId="0" applyNumberFormat="1" applyBorder="1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/>
    <xf numFmtId="0" fontId="1" fillId="0" borderId="0" xfId="0" applyFont="1"/>
    <xf numFmtId="0" fontId="0" fillId="0" borderId="0" xfId="0" applyFont="1"/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/>
    <xf numFmtId="0" fontId="0" fillId="0" borderId="0" xfId="0"/>
    <xf numFmtId="0" fontId="0" fillId="0" borderId="0" xfId="0"/>
    <xf numFmtId="0" fontId="1" fillId="0" borderId="0" xfId="0" applyFont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0" xfId="0" applyFont="1"/>
    <xf numFmtId="0" fontId="1" fillId="0" borderId="4" xfId="0" applyFont="1" applyFill="1" applyBorder="1" applyAlignment="1"/>
    <xf numFmtId="0" fontId="0" fillId="0" borderId="0" xfId="0" applyFill="1"/>
    <xf numFmtId="0" fontId="0" fillId="0" borderId="1" xfId="0" applyFill="1" applyBorder="1"/>
    <xf numFmtId="0" fontId="0" fillId="0" borderId="0" xfId="0" applyFill="1" applyBorder="1"/>
    <xf numFmtId="0" fontId="1" fillId="0" borderId="0" xfId="0" applyFont="1" applyFill="1"/>
    <xf numFmtId="164" fontId="0" fillId="0" borderId="5" xfId="0" applyNumberFormat="1" applyFill="1" applyBorder="1"/>
    <xf numFmtId="164" fontId="0" fillId="0" borderId="0" xfId="0" applyNumberFormat="1" applyFill="1" applyBorder="1"/>
    <xf numFmtId="165" fontId="0" fillId="0" borderId="0" xfId="0" applyNumberFormat="1" applyFill="1"/>
    <xf numFmtId="9" fontId="0" fillId="0" borderId="0" xfId="0" applyNumberFormat="1" applyFill="1"/>
    <xf numFmtId="0" fontId="1" fillId="0" borderId="0" xfId="0" applyFont="1" applyFill="1" applyAlignment="1"/>
    <xf numFmtId="0" fontId="8" fillId="0" borderId="0" xfId="0" applyFont="1" applyFill="1" applyBorder="1" applyAlignment="1">
      <alignment horizontal="justify" wrapText="1"/>
    </xf>
    <xf numFmtId="0" fontId="0" fillId="0" borderId="0" xfId="0" applyFont="1" applyFill="1"/>
    <xf numFmtId="0" fontId="0" fillId="0" borderId="0" xfId="0" applyFont="1" applyFill="1" applyBorder="1" applyAlignment="1">
      <alignment vertical="top" wrapText="1"/>
    </xf>
    <xf numFmtId="0" fontId="6" fillId="0" borderId="0" xfId="0" applyFont="1" applyFill="1" applyAlignment="1">
      <alignment horizontal="right"/>
    </xf>
    <xf numFmtId="0" fontId="0" fillId="0" borderId="2" xfId="0" applyFill="1" applyBorder="1"/>
    <xf numFmtId="0" fontId="1" fillId="0" borderId="0" xfId="0" applyFont="1" applyFill="1" applyAlignment="1">
      <alignment horizontal="center"/>
    </xf>
    <xf numFmtId="0" fontId="0" fillId="0" borderId="0" xfId="0" applyFill="1" applyAlignment="1">
      <alignment horizontal="center"/>
    </xf>
    <xf numFmtId="0" fontId="0" fillId="0" borderId="0" xfId="0" applyFont="1" applyFill="1" applyAlignment="1">
      <alignment horizontal="left"/>
    </xf>
    <xf numFmtId="0" fontId="0" fillId="0" borderId="0" xfId="0" applyFill="1" applyAlignment="1">
      <alignment horizontal="left" wrapText="1"/>
    </xf>
    <xf numFmtId="0" fontId="0" fillId="0" borderId="0" xfId="0" applyFill="1" applyAlignment="1">
      <alignment wrapText="1"/>
    </xf>
    <xf numFmtId="0" fontId="5" fillId="0" borderId="0" xfId="0" applyFont="1" applyFill="1" applyAlignment="1">
      <alignment horizontal="justify"/>
    </xf>
    <xf numFmtId="0" fontId="7" fillId="0" borderId="0" xfId="0" applyFont="1" applyFill="1" applyAlignment="1">
      <alignment horizontal="justify"/>
    </xf>
    <xf numFmtId="0" fontId="0" fillId="0" borderId="0" xfId="0" applyFont="1" applyFill="1" applyAlignment="1">
      <alignment horizontal="justify"/>
    </xf>
    <xf numFmtId="0" fontId="5" fillId="0" borderId="0" xfId="0" applyFont="1" applyFill="1" applyAlignment="1">
      <alignment vertical="top"/>
    </xf>
    <xf numFmtId="0" fontId="0" fillId="0" borderId="0" xfId="0" applyFill="1" applyAlignment="1">
      <alignment vertical="top"/>
    </xf>
    <xf numFmtId="0" fontId="1" fillId="0" borderId="0" xfId="0" applyFont="1"/>
    <xf numFmtId="0" fontId="0" fillId="0" borderId="0" xfId="0"/>
    <xf numFmtId="0" fontId="0" fillId="0" borderId="0" xfId="0" applyFill="1"/>
    <xf numFmtId="0" fontId="0" fillId="0" borderId="1" xfId="0" applyBorder="1" applyAlignment="1"/>
    <xf numFmtId="0" fontId="0" fillId="0" borderId="0" xfId="0" applyBorder="1" applyAlignment="1"/>
    <xf numFmtId="0" fontId="1" fillId="0" borderId="0" xfId="0" applyFont="1" applyBorder="1" applyAlignment="1">
      <alignment horizontal="center"/>
    </xf>
    <xf numFmtId="164" fontId="0" fillId="0" borderId="0" xfId="0" applyNumberFormat="1"/>
    <xf numFmtId="0" fontId="0" fillId="0" borderId="0" xfId="0" applyAlignment="1">
      <alignment horizontal="left"/>
    </xf>
    <xf numFmtId="0" fontId="0" fillId="0" borderId="1" xfId="0" applyBorder="1" applyAlignment="1">
      <alignment horizontal="center"/>
    </xf>
    <xf numFmtId="0" fontId="0" fillId="0" borderId="0" xfId="0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0" xfId="0" applyFont="1"/>
    <xf numFmtId="0" fontId="0" fillId="0" borderId="0" xfId="0"/>
    <xf numFmtId="0" fontId="6" fillId="0" borderId="0" xfId="0" applyFont="1"/>
    <xf numFmtId="0" fontId="0" fillId="0" borderId="0" xfId="0" applyAlignment="1"/>
    <xf numFmtId="0" fontId="0" fillId="0" borderId="0" xfId="0" applyAlignment="1">
      <alignment vertical="top" wrapText="1"/>
    </xf>
    <xf numFmtId="0" fontId="1" fillId="0" borderId="0" xfId="0" applyFont="1" applyAlignment="1">
      <alignment horizontal="center" wrapText="1"/>
    </xf>
    <xf numFmtId="0" fontId="0" fillId="0" borderId="0" xfId="0" applyFont="1" applyAlignment="1"/>
    <xf numFmtId="0" fontId="0" fillId="0" borderId="0" xfId="0" applyAlignment="1">
      <alignment horizontal="justify" vertical="top"/>
    </xf>
    <xf numFmtId="0" fontId="0" fillId="0" borderId="0" xfId="0" applyFill="1"/>
    <xf numFmtId="0" fontId="0" fillId="0" borderId="0" xfId="0" applyFill="1" applyAlignment="1">
      <alignment vertical="top" wrapText="1"/>
    </xf>
    <xf numFmtId="0" fontId="6" fillId="0" borderId="0" xfId="0" applyFont="1" applyFill="1"/>
    <xf numFmtId="0" fontId="1" fillId="0" borderId="0" xfId="0" applyFont="1" applyFill="1" applyAlignment="1">
      <alignment horizontal="center"/>
    </xf>
    <xf numFmtId="0" fontId="0" fillId="0" borderId="0" xfId="0" applyFill="1" applyAlignment="1"/>
    <xf numFmtId="0" fontId="1" fillId="0" borderId="0" xfId="0" applyFont="1" applyFill="1" applyAlignment="1">
      <alignment horizontal="center" wrapText="1"/>
    </xf>
    <xf numFmtId="0" fontId="0" fillId="0" borderId="0" xfId="0" applyFont="1" applyFill="1" applyAlignment="1"/>
    <xf numFmtId="0" fontId="0" fillId="0" borderId="0" xfId="0" applyFill="1" applyAlignment="1">
      <alignment horizontal="justify" vertical="top"/>
    </xf>
    <xf numFmtId="0" fontId="0" fillId="0" borderId="1" xfId="0" applyFill="1" applyBorder="1" applyAlignment="1">
      <alignment horizontal="center"/>
    </xf>
    <xf numFmtId="0" fontId="1" fillId="0" borderId="3" xfId="0" applyFont="1" applyFill="1" applyBorder="1" applyAlignment="1">
      <alignment horizontal="center"/>
    </xf>
    <xf numFmtId="0" fontId="1" fillId="0" borderId="4" xfId="0" applyFont="1" applyFill="1" applyBorder="1" applyAlignment="1">
      <alignment horizontal="center"/>
    </xf>
    <xf numFmtId="0" fontId="1" fillId="0" borderId="5" xfId="0" applyFont="1" applyFill="1" applyBorder="1" applyAlignment="1">
      <alignment horizontal="center"/>
    </xf>
    <xf numFmtId="0" fontId="1" fillId="0" borderId="0" xfId="0" applyFont="1" applyFill="1"/>
  </cellXfs>
  <cellStyles count="2">
    <cellStyle name="Normal" xfId="0" builtinId="0"/>
    <cellStyle name="Normal_Estrutura_de_preços_-_CODEVASF_versão10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3.png"/><Relationship Id="rId1" Type="http://schemas.openxmlformats.org/officeDocument/2006/relationships/image" Target="../media/image2.png"/><Relationship Id="rId6" Type="http://schemas.openxmlformats.org/officeDocument/2006/relationships/image" Target="../media/image7.png"/><Relationship Id="rId5" Type="http://schemas.openxmlformats.org/officeDocument/2006/relationships/image" Target="../media/image6.png"/><Relationship Id="rId4" Type="http://schemas.openxmlformats.org/officeDocument/2006/relationships/image" Target="../media/image5.png"/></Relationships>
</file>

<file path=xl/drawings/_rels/drawing10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3.png"/><Relationship Id="rId1" Type="http://schemas.openxmlformats.org/officeDocument/2006/relationships/image" Target="../media/image2.png"/><Relationship Id="rId6" Type="http://schemas.openxmlformats.org/officeDocument/2006/relationships/image" Target="../media/image7.png"/><Relationship Id="rId5" Type="http://schemas.openxmlformats.org/officeDocument/2006/relationships/image" Target="../media/image6.png"/><Relationship Id="rId4" Type="http://schemas.openxmlformats.org/officeDocument/2006/relationships/image" Target="../media/image5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3.png"/><Relationship Id="rId1" Type="http://schemas.openxmlformats.org/officeDocument/2006/relationships/image" Target="../media/image2.png"/><Relationship Id="rId6" Type="http://schemas.openxmlformats.org/officeDocument/2006/relationships/image" Target="../media/image7.png"/><Relationship Id="rId5" Type="http://schemas.openxmlformats.org/officeDocument/2006/relationships/image" Target="../media/image6.png"/><Relationship Id="rId4" Type="http://schemas.openxmlformats.org/officeDocument/2006/relationships/image" Target="../media/image5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3.png"/><Relationship Id="rId1" Type="http://schemas.openxmlformats.org/officeDocument/2006/relationships/image" Target="../media/image2.png"/><Relationship Id="rId6" Type="http://schemas.openxmlformats.org/officeDocument/2006/relationships/image" Target="../media/image7.png"/><Relationship Id="rId5" Type="http://schemas.openxmlformats.org/officeDocument/2006/relationships/image" Target="../media/image6.png"/><Relationship Id="rId4" Type="http://schemas.openxmlformats.org/officeDocument/2006/relationships/image" Target="../media/image5.pn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3.png"/><Relationship Id="rId1" Type="http://schemas.openxmlformats.org/officeDocument/2006/relationships/image" Target="../media/image2.png"/><Relationship Id="rId6" Type="http://schemas.openxmlformats.org/officeDocument/2006/relationships/image" Target="../media/image7.png"/><Relationship Id="rId5" Type="http://schemas.openxmlformats.org/officeDocument/2006/relationships/image" Target="../media/image6.png"/><Relationship Id="rId4" Type="http://schemas.openxmlformats.org/officeDocument/2006/relationships/image" Target="../media/image5.pn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3.png"/><Relationship Id="rId1" Type="http://schemas.openxmlformats.org/officeDocument/2006/relationships/image" Target="../media/image2.png"/><Relationship Id="rId6" Type="http://schemas.openxmlformats.org/officeDocument/2006/relationships/image" Target="../media/image7.png"/><Relationship Id="rId5" Type="http://schemas.openxmlformats.org/officeDocument/2006/relationships/image" Target="../media/image6.png"/><Relationship Id="rId4" Type="http://schemas.openxmlformats.org/officeDocument/2006/relationships/image" Target="../media/image5.pn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3.png"/><Relationship Id="rId1" Type="http://schemas.openxmlformats.org/officeDocument/2006/relationships/image" Target="../media/image2.png"/><Relationship Id="rId6" Type="http://schemas.openxmlformats.org/officeDocument/2006/relationships/image" Target="../media/image7.png"/><Relationship Id="rId5" Type="http://schemas.openxmlformats.org/officeDocument/2006/relationships/image" Target="../media/image6.png"/><Relationship Id="rId4" Type="http://schemas.openxmlformats.org/officeDocument/2006/relationships/image" Target="../media/image5.png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3.png"/><Relationship Id="rId1" Type="http://schemas.openxmlformats.org/officeDocument/2006/relationships/image" Target="../media/image2.png"/><Relationship Id="rId6" Type="http://schemas.openxmlformats.org/officeDocument/2006/relationships/image" Target="../media/image7.png"/><Relationship Id="rId5" Type="http://schemas.openxmlformats.org/officeDocument/2006/relationships/image" Target="../media/image6.png"/><Relationship Id="rId4" Type="http://schemas.openxmlformats.org/officeDocument/2006/relationships/image" Target="../media/image5.png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3.png"/><Relationship Id="rId1" Type="http://schemas.openxmlformats.org/officeDocument/2006/relationships/image" Target="../media/image2.png"/><Relationship Id="rId6" Type="http://schemas.openxmlformats.org/officeDocument/2006/relationships/image" Target="../media/image7.png"/><Relationship Id="rId5" Type="http://schemas.openxmlformats.org/officeDocument/2006/relationships/image" Target="../media/image6.png"/><Relationship Id="rId4" Type="http://schemas.openxmlformats.org/officeDocument/2006/relationships/image" Target="../media/image5.png"/></Relationships>
</file>

<file path=xl/drawings/_rels/drawing9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3.png"/><Relationship Id="rId1" Type="http://schemas.openxmlformats.org/officeDocument/2006/relationships/image" Target="../media/image2.png"/><Relationship Id="rId6" Type="http://schemas.openxmlformats.org/officeDocument/2006/relationships/image" Target="../media/image7.png"/><Relationship Id="rId5" Type="http://schemas.openxmlformats.org/officeDocument/2006/relationships/image" Target="../media/image6.png"/><Relationship Id="rId4" Type="http://schemas.openxmlformats.org/officeDocument/2006/relationships/image" Target="../media/image5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47625</xdr:colOff>
      <xdr:row>3</xdr:row>
      <xdr:rowOff>142875</xdr:rowOff>
    </xdr:from>
    <xdr:to>
      <xdr:col>9</xdr:col>
      <xdr:colOff>590550</xdr:colOff>
      <xdr:row>5</xdr:row>
      <xdr:rowOff>104775</xdr:rowOff>
    </xdr:to>
    <xdr:pic>
      <xdr:nvPicPr>
        <xdr:cNvPr id="2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5534025" y="733425"/>
          <a:ext cx="542925" cy="342900"/>
        </a:xfrm>
        <a:prstGeom prst="rect">
          <a:avLst/>
        </a:prstGeom>
        <a:noFill/>
      </xdr:spPr>
    </xdr:pic>
    <xdr:clientData/>
  </xdr:twoCellAnchor>
  <xdr:twoCellAnchor>
    <xdr:from>
      <xdr:col>9</xdr:col>
      <xdr:colOff>638175</xdr:colOff>
      <xdr:row>22</xdr:row>
      <xdr:rowOff>9525</xdr:rowOff>
    </xdr:from>
    <xdr:to>
      <xdr:col>11</xdr:col>
      <xdr:colOff>523875</xdr:colOff>
      <xdr:row>24</xdr:row>
      <xdr:rowOff>9525</xdr:rowOff>
    </xdr:to>
    <xdr:pic>
      <xdr:nvPicPr>
        <xdr:cNvPr id="3" name="Picture 8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6124575" y="4238625"/>
          <a:ext cx="1914525" cy="381000"/>
        </a:xfrm>
        <a:prstGeom prst="rect">
          <a:avLst/>
        </a:prstGeom>
        <a:noFill/>
      </xdr:spPr>
    </xdr:pic>
    <xdr:clientData/>
  </xdr:twoCellAnchor>
  <xdr:twoCellAnchor>
    <xdr:from>
      <xdr:col>9</xdr:col>
      <xdr:colOff>381000</xdr:colOff>
      <xdr:row>34</xdr:row>
      <xdr:rowOff>171450</xdr:rowOff>
    </xdr:from>
    <xdr:to>
      <xdr:col>11</xdr:col>
      <xdr:colOff>9525</xdr:colOff>
      <xdr:row>38</xdr:row>
      <xdr:rowOff>123825</xdr:rowOff>
    </xdr:to>
    <xdr:pic>
      <xdr:nvPicPr>
        <xdr:cNvPr id="4" name="Picture 9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5867400" y="6724650"/>
          <a:ext cx="1657350" cy="914400"/>
        </a:xfrm>
        <a:prstGeom prst="rect">
          <a:avLst/>
        </a:prstGeom>
        <a:noFill/>
      </xdr:spPr>
    </xdr:pic>
    <xdr:clientData/>
  </xdr:twoCellAnchor>
  <xdr:twoCellAnchor>
    <xdr:from>
      <xdr:col>9</xdr:col>
      <xdr:colOff>695325</xdr:colOff>
      <xdr:row>50</xdr:row>
      <xdr:rowOff>142875</xdr:rowOff>
    </xdr:from>
    <xdr:to>
      <xdr:col>10</xdr:col>
      <xdr:colOff>723900</xdr:colOff>
      <xdr:row>51</xdr:row>
      <xdr:rowOff>161925</xdr:rowOff>
    </xdr:to>
    <xdr:pic>
      <xdr:nvPicPr>
        <xdr:cNvPr id="5" name="Picture 11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6181725" y="9944100"/>
          <a:ext cx="1285875" cy="219075"/>
        </a:xfrm>
        <a:prstGeom prst="rect">
          <a:avLst/>
        </a:prstGeom>
        <a:noFill/>
      </xdr:spPr>
    </xdr:pic>
    <xdr:clientData/>
  </xdr:twoCellAnchor>
  <xdr:twoCellAnchor>
    <xdr:from>
      <xdr:col>9</xdr:col>
      <xdr:colOff>47625</xdr:colOff>
      <xdr:row>52</xdr:row>
      <xdr:rowOff>19050</xdr:rowOff>
    </xdr:from>
    <xdr:to>
      <xdr:col>12</xdr:col>
      <xdr:colOff>381000</xdr:colOff>
      <xdr:row>53</xdr:row>
      <xdr:rowOff>123825</xdr:rowOff>
    </xdr:to>
    <xdr:pic>
      <xdr:nvPicPr>
        <xdr:cNvPr id="6" name="Picture 10"/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5534025" y="10220325"/>
          <a:ext cx="2971800" cy="304800"/>
        </a:xfrm>
        <a:prstGeom prst="rect">
          <a:avLst/>
        </a:prstGeom>
        <a:noFill/>
      </xdr:spPr>
    </xdr:pic>
    <xdr:clientData/>
  </xdr:twoCellAnchor>
  <xdr:twoCellAnchor>
    <xdr:from>
      <xdr:col>17</xdr:col>
      <xdr:colOff>495300</xdr:colOff>
      <xdr:row>2</xdr:row>
      <xdr:rowOff>95250</xdr:rowOff>
    </xdr:from>
    <xdr:to>
      <xdr:col>19</xdr:col>
      <xdr:colOff>161925</xdr:colOff>
      <xdr:row>4</xdr:row>
      <xdr:rowOff>76200</xdr:rowOff>
    </xdr:to>
    <xdr:pic>
      <xdr:nvPicPr>
        <xdr:cNvPr id="7" name="Picture 12"/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12182475" y="485775"/>
          <a:ext cx="885825" cy="371475"/>
        </a:xfrm>
        <a:prstGeom prst="rect">
          <a:avLst/>
        </a:prstGeom>
        <a:noFill/>
      </xdr:spPr>
    </xdr:pic>
    <xdr:clientData/>
  </xdr:twoCellAnchor>
  <xdr:twoCellAnchor>
    <xdr:from>
      <xdr:col>9</xdr:col>
      <xdr:colOff>47625</xdr:colOff>
      <xdr:row>3</xdr:row>
      <xdr:rowOff>142875</xdr:rowOff>
    </xdr:from>
    <xdr:to>
      <xdr:col>9</xdr:col>
      <xdr:colOff>590550</xdr:colOff>
      <xdr:row>5</xdr:row>
      <xdr:rowOff>104775</xdr:rowOff>
    </xdr:to>
    <xdr:pic>
      <xdr:nvPicPr>
        <xdr:cNvPr id="8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5534025" y="733425"/>
          <a:ext cx="542925" cy="342900"/>
        </a:xfrm>
        <a:prstGeom prst="rect">
          <a:avLst/>
        </a:prstGeom>
        <a:noFill/>
      </xdr:spPr>
    </xdr:pic>
    <xdr:clientData/>
  </xdr:twoCellAnchor>
  <xdr:twoCellAnchor>
    <xdr:from>
      <xdr:col>9</xdr:col>
      <xdr:colOff>638175</xdr:colOff>
      <xdr:row>22</xdr:row>
      <xdr:rowOff>9525</xdr:rowOff>
    </xdr:from>
    <xdr:to>
      <xdr:col>11</xdr:col>
      <xdr:colOff>523875</xdr:colOff>
      <xdr:row>24</xdr:row>
      <xdr:rowOff>9525</xdr:rowOff>
    </xdr:to>
    <xdr:pic>
      <xdr:nvPicPr>
        <xdr:cNvPr id="9" name="Picture 8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6124575" y="4238625"/>
          <a:ext cx="1914525" cy="381000"/>
        </a:xfrm>
        <a:prstGeom prst="rect">
          <a:avLst/>
        </a:prstGeom>
        <a:noFill/>
      </xdr:spPr>
    </xdr:pic>
    <xdr:clientData/>
  </xdr:twoCellAnchor>
  <xdr:twoCellAnchor>
    <xdr:from>
      <xdr:col>9</xdr:col>
      <xdr:colOff>381000</xdr:colOff>
      <xdr:row>34</xdr:row>
      <xdr:rowOff>171450</xdr:rowOff>
    </xdr:from>
    <xdr:to>
      <xdr:col>11</xdr:col>
      <xdr:colOff>9525</xdr:colOff>
      <xdr:row>38</xdr:row>
      <xdr:rowOff>123825</xdr:rowOff>
    </xdr:to>
    <xdr:pic>
      <xdr:nvPicPr>
        <xdr:cNvPr id="10" name="Picture 9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5867400" y="6705600"/>
          <a:ext cx="1657350" cy="733425"/>
        </a:xfrm>
        <a:prstGeom prst="rect">
          <a:avLst/>
        </a:prstGeom>
        <a:noFill/>
      </xdr:spPr>
    </xdr:pic>
    <xdr:clientData/>
  </xdr:twoCellAnchor>
  <xdr:twoCellAnchor>
    <xdr:from>
      <xdr:col>9</xdr:col>
      <xdr:colOff>695325</xdr:colOff>
      <xdr:row>50</xdr:row>
      <xdr:rowOff>142875</xdr:rowOff>
    </xdr:from>
    <xdr:to>
      <xdr:col>10</xdr:col>
      <xdr:colOff>723900</xdr:colOff>
      <xdr:row>51</xdr:row>
      <xdr:rowOff>161925</xdr:rowOff>
    </xdr:to>
    <xdr:pic>
      <xdr:nvPicPr>
        <xdr:cNvPr id="11" name="Picture 11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6181725" y="9934575"/>
          <a:ext cx="1285875" cy="219075"/>
        </a:xfrm>
        <a:prstGeom prst="rect">
          <a:avLst/>
        </a:prstGeom>
        <a:noFill/>
      </xdr:spPr>
    </xdr:pic>
    <xdr:clientData/>
  </xdr:twoCellAnchor>
  <xdr:twoCellAnchor>
    <xdr:from>
      <xdr:col>9</xdr:col>
      <xdr:colOff>47625</xdr:colOff>
      <xdr:row>52</xdr:row>
      <xdr:rowOff>19050</xdr:rowOff>
    </xdr:from>
    <xdr:to>
      <xdr:col>12</xdr:col>
      <xdr:colOff>381000</xdr:colOff>
      <xdr:row>53</xdr:row>
      <xdr:rowOff>123825</xdr:rowOff>
    </xdr:to>
    <xdr:pic>
      <xdr:nvPicPr>
        <xdr:cNvPr id="12" name="Picture 10"/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5534025" y="10210800"/>
          <a:ext cx="2971800" cy="304800"/>
        </a:xfrm>
        <a:prstGeom prst="rect">
          <a:avLst/>
        </a:prstGeom>
        <a:noFill/>
      </xdr:spPr>
    </xdr:pic>
    <xdr:clientData/>
  </xdr:twoCellAnchor>
  <xdr:twoCellAnchor>
    <xdr:from>
      <xdr:col>17</xdr:col>
      <xdr:colOff>495300</xdr:colOff>
      <xdr:row>2</xdr:row>
      <xdr:rowOff>95250</xdr:rowOff>
    </xdr:from>
    <xdr:to>
      <xdr:col>19</xdr:col>
      <xdr:colOff>161925</xdr:colOff>
      <xdr:row>4</xdr:row>
      <xdr:rowOff>76200</xdr:rowOff>
    </xdr:to>
    <xdr:pic>
      <xdr:nvPicPr>
        <xdr:cNvPr id="13" name="Picture 12"/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11696700" y="485775"/>
          <a:ext cx="885825" cy="371475"/>
        </a:xfrm>
        <a:prstGeom prst="rect">
          <a:avLst/>
        </a:prstGeom>
        <a:noFill/>
      </xdr:spPr>
    </xdr:pic>
    <xdr:clientData/>
  </xdr:twoCellAnchor>
  <xdr:twoCellAnchor>
    <xdr:from>
      <xdr:col>9</xdr:col>
      <xdr:colOff>47625</xdr:colOff>
      <xdr:row>3</xdr:row>
      <xdr:rowOff>142875</xdr:rowOff>
    </xdr:from>
    <xdr:to>
      <xdr:col>9</xdr:col>
      <xdr:colOff>590550</xdr:colOff>
      <xdr:row>5</xdr:row>
      <xdr:rowOff>104775</xdr:rowOff>
    </xdr:to>
    <xdr:pic>
      <xdr:nvPicPr>
        <xdr:cNvPr id="14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5534025" y="733425"/>
          <a:ext cx="542925" cy="342900"/>
        </a:xfrm>
        <a:prstGeom prst="rect">
          <a:avLst/>
        </a:prstGeom>
        <a:noFill/>
      </xdr:spPr>
    </xdr:pic>
    <xdr:clientData/>
  </xdr:twoCellAnchor>
  <xdr:twoCellAnchor>
    <xdr:from>
      <xdr:col>9</xdr:col>
      <xdr:colOff>638175</xdr:colOff>
      <xdr:row>22</xdr:row>
      <xdr:rowOff>9525</xdr:rowOff>
    </xdr:from>
    <xdr:to>
      <xdr:col>11</xdr:col>
      <xdr:colOff>523875</xdr:colOff>
      <xdr:row>24</xdr:row>
      <xdr:rowOff>9525</xdr:rowOff>
    </xdr:to>
    <xdr:pic>
      <xdr:nvPicPr>
        <xdr:cNvPr id="15" name="Picture 8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6124575" y="4219575"/>
          <a:ext cx="1914525" cy="390525"/>
        </a:xfrm>
        <a:prstGeom prst="rect">
          <a:avLst/>
        </a:prstGeom>
        <a:noFill/>
      </xdr:spPr>
    </xdr:pic>
    <xdr:clientData/>
  </xdr:twoCellAnchor>
  <xdr:twoCellAnchor>
    <xdr:from>
      <xdr:col>9</xdr:col>
      <xdr:colOff>381000</xdr:colOff>
      <xdr:row>34</xdr:row>
      <xdr:rowOff>171450</xdr:rowOff>
    </xdr:from>
    <xdr:to>
      <xdr:col>11</xdr:col>
      <xdr:colOff>9525</xdr:colOff>
      <xdr:row>38</xdr:row>
      <xdr:rowOff>123825</xdr:rowOff>
    </xdr:to>
    <xdr:pic>
      <xdr:nvPicPr>
        <xdr:cNvPr id="16" name="Picture 9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5867400" y="6696075"/>
          <a:ext cx="1657350" cy="714375"/>
        </a:xfrm>
        <a:prstGeom prst="rect">
          <a:avLst/>
        </a:prstGeom>
        <a:noFill/>
      </xdr:spPr>
    </xdr:pic>
    <xdr:clientData/>
  </xdr:twoCellAnchor>
  <xdr:twoCellAnchor>
    <xdr:from>
      <xdr:col>9</xdr:col>
      <xdr:colOff>695325</xdr:colOff>
      <xdr:row>50</xdr:row>
      <xdr:rowOff>142875</xdr:rowOff>
    </xdr:from>
    <xdr:to>
      <xdr:col>10</xdr:col>
      <xdr:colOff>723900</xdr:colOff>
      <xdr:row>51</xdr:row>
      <xdr:rowOff>161925</xdr:rowOff>
    </xdr:to>
    <xdr:pic>
      <xdr:nvPicPr>
        <xdr:cNvPr id="17" name="Picture 11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6181725" y="9906000"/>
          <a:ext cx="1285875" cy="219075"/>
        </a:xfrm>
        <a:prstGeom prst="rect">
          <a:avLst/>
        </a:prstGeom>
        <a:noFill/>
      </xdr:spPr>
    </xdr:pic>
    <xdr:clientData/>
  </xdr:twoCellAnchor>
  <xdr:twoCellAnchor>
    <xdr:from>
      <xdr:col>9</xdr:col>
      <xdr:colOff>47625</xdr:colOff>
      <xdr:row>52</xdr:row>
      <xdr:rowOff>19050</xdr:rowOff>
    </xdr:from>
    <xdr:to>
      <xdr:col>12</xdr:col>
      <xdr:colOff>381000</xdr:colOff>
      <xdr:row>53</xdr:row>
      <xdr:rowOff>123825</xdr:rowOff>
    </xdr:to>
    <xdr:pic>
      <xdr:nvPicPr>
        <xdr:cNvPr id="18" name="Picture 10"/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5534025" y="10182225"/>
          <a:ext cx="2971800" cy="304800"/>
        </a:xfrm>
        <a:prstGeom prst="rect">
          <a:avLst/>
        </a:prstGeom>
        <a:noFill/>
      </xdr:spPr>
    </xdr:pic>
    <xdr:clientData/>
  </xdr:twoCellAnchor>
  <xdr:twoCellAnchor>
    <xdr:from>
      <xdr:col>17</xdr:col>
      <xdr:colOff>495300</xdr:colOff>
      <xdr:row>2</xdr:row>
      <xdr:rowOff>95250</xdr:rowOff>
    </xdr:from>
    <xdr:to>
      <xdr:col>19</xdr:col>
      <xdr:colOff>161925</xdr:colOff>
      <xdr:row>4</xdr:row>
      <xdr:rowOff>76200</xdr:rowOff>
    </xdr:to>
    <xdr:pic>
      <xdr:nvPicPr>
        <xdr:cNvPr id="19" name="Picture 12"/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11696700" y="485775"/>
          <a:ext cx="885825" cy="371475"/>
        </a:xfrm>
        <a:prstGeom prst="rect">
          <a:avLst/>
        </a:prstGeom>
        <a:noFill/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1</xdr:row>
          <xdr:rowOff>57150</xdr:rowOff>
        </xdr:from>
        <xdr:to>
          <xdr:col>7</xdr:col>
          <xdr:colOff>200025</xdr:colOff>
          <xdr:row>3</xdr:row>
          <xdr:rowOff>152400</xdr:rowOff>
        </xdr:to>
        <xdr:sp macro="" textlink="">
          <xdr:nvSpPr>
            <xdr:cNvPr id="4097" name="Object 1" hidden="1">
              <a:extLst>
                <a:ext uri="{63B3BB69-23CF-44E3-9099-C40C66FF867C}">
                  <a14:compatExt spid="_x0000_s409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1</xdr:row>
          <xdr:rowOff>57150</xdr:rowOff>
        </xdr:from>
        <xdr:to>
          <xdr:col>7</xdr:col>
          <xdr:colOff>200025</xdr:colOff>
          <xdr:row>4</xdr:row>
          <xdr:rowOff>28575</xdr:rowOff>
        </xdr:to>
        <xdr:sp macro="" textlink="">
          <xdr:nvSpPr>
            <xdr:cNvPr id="4102" name="Object 6" hidden="1">
              <a:extLst>
                <a:ext uri="{63B3BB69-23CF-44E3-9099-C40C66FF867C}">
                  <a14:compatExt spid="_x0000_s410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1</xdr:row>
          <xdr:rowOff>57150</xdr:rowOff>
        </xdr:from>
        <xdr:to>
          <xdr:col>7</xdr:col>
          <xdr:colOff>200025</xdr:colOff>
          <xdr:row>4</xdr:row>
          <xdr:rowOff>47625</xdr:rowOff>
        </xdr:to>
        <xdr:sp macro="" textlink="">
          <xdr:nvSpPr>
            <xdr:cNvPr id="4107" name="Object 11" hidden="1">
              <a:extLst>
                <a:ext uri="{63B3BB69-23CF-44E3-9099-C40C66FF867C}">
                  <a14:compatExt spid="_x0000_s410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47625</xdr:colOff>
      <xdr:row>3</xdr:row>
      <xdr:rowOff>142875</xdr:rowOff>
    </xdr:from>
    <xdr:to>
      <xdr:col>9</xdr:col>
      <xdr:colOff>590550</xdr:colOff>
      <xdr:row>5</xdr:row>
      <xdr:rowOff>104775</xdr:rowOff>
    </xdr:to>
    <xdr:pic>
      <xdr:nvPicPr>
        <xdr:cNvPr id="2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5534025" y="733425"/>
          <a:ext cx="542925" cy="342900"/>
        </a:xfrm>
        <a:prstGeom prst="rect">
          <a:avLst/>
        </a:prstGeom>
        <a:noFill/>
      </xdr:spPr>
    </xdr:pic>
    <xdr:clientData/>
  </xdr:twoCellAnchor>
  <xdr:twoCellAnchor>
    <xdr:from>
      <xdr:col>9</xdr:col>
      <xdr:colOff>638175</xdr:colOff>
      <xdr:row>22</xdr:row>
      <xdr:rowOff>9525</xdr:rowOff>
    </xdr:from>
    <xdr:to>
      <xdr:col>11</xdr:col>
      <xdr:colOff>523875</xdr:colOff>
      <xdr:row>24</xdr:row>
      <xdr:rowOff>9525</xdr:rowOff>
    </xdr:to>
    <xdr:pic>
      <xdr:nvPicPr>
        <xdr:cNvPr id="3" name="Picture 8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6124575" y="4219575"/>
          <a:ext cx="1914525" cy="390525"/>
        </a:xfrm>
        <a:prstGeom prst="rect">
          <a:avLst/>
        </a:prstGeom>
        <a:noFill/>
      </xdr:spPr>
    </xdr:pic>
    <xdr:clientData/>
  </xdr:twoCellAnchor>
  <xdr:twoCellAnchor>
    <xdr:from>
      <xdr:col>9</xdr:col>
      <xdr:colOff>381000</xdr:colOff>
      <xdr:row>34</xdr:row>
      <xdr:rowOff>171450</xdr:rowOff>
    </xdr:from>
    <xdr:to>
      <xdr:col>11</xdr:col>
      <xdr:colOff>9525</xdr:colOff>
      <xdr:row>38</xdr:row>
      <xdr:rowOff>123825</xdr:rowOff>
    </xdr:to>
    <xdr:pic>
      <xdr:nvPicPr>
        <xdr:cNvPr id="4" name="Picture 9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5867400" y="6686550"/>
          <a:ext cx="1657350" cy="723900"/>
        </a:xfrm>
        <a:prstGeom prst="rect">
          <a:avLst/>
        </a:prstGeom>
        <a:noFill/>
      </xdr:spPr>
    </xdr:pic>
    <xdr:clientData/>
  </xdr:twoCellAnchor>
  <xdr:twoCellAnchor>
    <xdr:from>
      <xdr:col>9</xdr:col>
      <xdr:colOff>695325</xdr:colOff>
      <xdr:row>50</xdr:row>
      <xdr:rowOff>142875</xdr:rowOff>
    </xdr:from>
    <xdr:to>
      <xdr:col>10</xdr:col>
      <xdr:colOff>723900</xdr:colOff>
      <xdr:row>51</xdr:row>
      <xdr:rowOff>161925</xdr:rowOff>
    </xdr:to>
    <xdr:pic>
      <xdr:nvPicPr>
        <xdr:cNvPr id="5" name="Picture 11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6181725" y="9906000"/>
          <a:ext cx="1285875" cy="219075"/>
        </a:xfrm>
        <a:prstGeom prst="rect">
          <a:avLst/>
        </a:prstGeom>
        <a:noFill/>
      </xdr:spPr>
    </xdr:pic>
    <xdr:clientData/>
  </xdr:twoCellAnchor>
  <xdr:twoCellAnchor>
    <xdr:from>
      <xdr:col>9</xdr:col>
      <xdr:colOff>47625</xdr:colOff>
      <xdr:row>52</xdr:row>
      <xdr:rowOff>19050</xdr:rowOff>
    </xdr:from>
    <xdr:to>
      <xdr:col>12</xdr:col>
      <xdr:colOff>381000</xdr:colOff>
      <xdr:row>53</xdr:row>
      <xdr:rowOff>123825</xdr:rowOff>
    </xdr:to>
    <xdr:pic>
      <xdr:nvPicPr>
        <xdr:cNvPr id="6" name="Picture 10"/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5534025" y="10182225"/>
          <a:ext cx="2971800" cy="304800"/>
        </a:xfrm>
        <a:prstGeom prst="rect">
          <a:avLst/>
        </a:prstGeom>
        <a:noFill/>
      </xdr:spPr>
    </xdr:pic>
    <xdr:clientData/>
  </xdr:twoCellAnchor>
  <xdr:twoCellAnchor>
    <xdr:from>
      <xdr:col>17</xdr:col>
      <xdr:colOff>495300</xdr:colOff>
      <xdr:row>2</xdr:row>
      <xdr:rowOff>95250</xdr:rowOff>
    </xdr:from>
    <xdr:to>
      <xdr:col>19</xdr:col>
      <xdr:colOff>161925</xdr:colOff>
      <xdr:row>4</xdr:row>
      <xdr:rowOff>76200</xdr:rowOff>
    </xdr:to>
    <xdr:pic>
      <xdr:nvPicPr>
        <xdr:cNvPr id="7" name="Picture 12"/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11696700" y="485775"/>
          <a:ext cx="885825" cy="371475"/>
        </a:xfrm>
        <a:prstGeom prst="rect">
          <a:avLst/>
        </a:prstGeom>
        <a:noFill/>
      </xdr:spPr>
    </xdr:pic>
    <xdr:clientData/>
  </xdr:twoCellAnchor>
  <xdr:twoCellAnchor>
    <xdr:from>
      <xdr:col>9</xdr:col>
      <xdr:colOff>47625</xdr:colOff>
      <xdr:row>3</xdr:row>
      <xdr:rowOff>142875</xdr:rowOff>
    </xdr:from>
    <xdr:to>
      <xdr:col>9</xdr:col>
      <xdr:colOff>590550</xdr:colOff>
      <xdr:row>5</xdr:row>
      <xdr:rowOff>104775</xdr:rowOff>
    </xdr:to>
    <xdr:pic>
      <xdr:nvPicPr>
        <xdr:cNvPr id="8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5534025" y="733425"/>
          <a:ext cx="542925" cy="342900"/>
        </a:xfrm>
        <a:prstGeom prst="rect">
          <a:avLst/>
        </a:prstGeom>
        <a:noFill/>
      </xdr:spPr>
    </xdr:pic>
    <xdr:clientData/>
  </xdr:twoCellAnchor>
  <xdr:twoCellAnchor>
    <xdr:from>
      <xdr:col>9</xdr:col>
      <xdr:colOff>638175</xdr:colOff>
      <xdr:row>22</xdr:row>
      <xdr:rowOff>9525</xdr:rowOff>
    </xdr:from>
    <xdr:to>
      <xdr:col>11</xdr:col>
      <xdr:colOff>523875</xdr:colOff>
      <xdr:row>24</xdr:row>
      <xdr:rowOff>9525</xdr:rowOff>
    </xdr:to>
    <xdr:pic>
      <xdr:nvPicPr>
        <xdr:cNvPr id="9" name="Picture 8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6124575" y="4219575"/>
          <a:ext cx="1914525" cy="390525"/>
        </a:xfrm>
        <a:prstGeom prst="rect">
          <a:avLst/>
        </a:prstGeom>
        <a:noFill/>
      </xdr:spPr>
    </xdr:pic>
    <xdr:clientData/>
  </xdr:twoCellAnchor>
  <xdr:twoCellAnchor>
    <xdr:from>
      <xdr:col>9</xdr:col>
      <xdr:colOff>381000</xdr:colOff>
      <xdr:row>34</xdr:row>
      <xdr:rowOff>171450</xdr:rowOff>
    </xdr:from>
    <xdr:to>
      <xdr:col>11</xdr:col>
      <xdr:colOff>9525</xdr:colOff>
      <xdr:row>38</xdr:row>
      <xdr:rowOff>123825</xdr:rowOff>
    </xdr:to>
    <xdr:pic>
      <xdr:nvPicPr>
        <xdr:cNvPr id="10" name="Picture 9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5867400" y="6686550"/>
          <a:ext cx="1657350" cy="723900"/>
        </a:xfrm>
        <a:prstGeom prst="rect">
          <a:avLst/>
        </a:prstGeom>
        <a:noFill/>
      </xdr:spPr>
    </xdr:pic>
    <xdr:clientData/>
  </xdr:twoCellAnchor>
  <xdr:twoCellAnchor>
    <xdr:from>
      <xdr:col>9</xdr:col>
      <xdr:colOff>695325</xdr:colOff>
      <xdr:row>50</xdr:row>
      <xdr:rowOff>142875</xdr:rowOff>
    </xdr:from>
    <xdr:to>
      <xdr:col>10</xdr:col>
      <xdr:colOff>723900</xdr:colOff>
      <xdr:row>51</xdr:row>
      <xdr:rowOff>161925</xdr:rowOff>
    </xdr:to>
    <xdr:pic>
      <xdr:nvPicPr>
        <xdr:cNvPr id="11" name="Picture 11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6181725" y="9906000"/>
          <a:ext cx="1285875" cy="219075"/>
        </a:xfrm>
        <a:prstGeom prst="rect">
          <a:avLst/>
        </a:prstGeom>
        <a:noFill/>
      </xdr:spPr>
    </xdr:pic>
    <xdr:clientData/>
  </xdr:twoCellAnchor>
  <xdr:twoCellAnchor>
    <xdr:from>
      <xdr:col>9</xdr:col>
      <xdr:colOff>47625</xdr:colOff>
      <xdr:row>52</xdr:row>
      <xdr:rowOff>19050</xdr:rowOff>
    </xdr:from>
    <xdr:to>
      <xdr:col>12</xdr:col>
      <xdr:colOff>381000</xdr:colOff>
      <xdr:row>53</xdr:row>
      <xdr:rowOff>123825</xdr:rowOff>
    </xdr:to>
    <xdr:pic>
      <xdr:nvPicPr>
        <xdr:cNvPr id="12" name="Picture 10"/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5534025" y="10182225"/>
          <a:ext cx="2971800" cy="304800"/>
        </a:xfrm>
        <a:prstGeom prst="rect">
          <a:avLst/>
        </a:prstGeom>
        <a:noFill/>
      </xdr:spPr>
    </xdr:pic>
    <xdr:clientData/>
  </xdr:twoCellAnchor>
  <xdr:twoCellAnchor>
    <xdr:from>
      <xdr:col>17</xdr:col>
      <xdr:colOff>495300</xdr:colOff>
      <xdr:row>2</xdr:row>
      <xdr:rowOff>95250</xdr:rowOff>
    </xdr:from>
    <xdr:to>
      <xdr:col>19</xdr:col>
      <xdr:colOff>161925</xdr:colOff>
      <xdr:row>4</xdr:row>
      <xdr:rowOff>76200</xdr:rowOff>
    </xdr:to>
    <xdr:pic>
      <xdr:nvPicPr>
        <xdr:cNvPr id="13" name="Picture 12"/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11696700" y="485775"/>
          <a:ext cx="885825" cy="371475"/>
        </a:xfrm>
        <a:prstGeom prst="rect">
          <a:avLst/>
        </a:prstGeom>
        <a:noFill/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1</xdr:row>
          <xdr:rowOff>57150</xdr:rowOff>
        </xdr:from>
        <xdr:to>
          <xdr:col>7</xdr:col>
          <xdr:colOff>200025</xdr:colOff>
          <xdr:row>3</xdr:row>
          <xdr:rowOff>171450</xdr:rowOff>
        </xdr:to>
        <xdr:sp macro="" textlink="">
          <xdr:nvSpPr>
            <xdr:cNvPr id="18433" name="Object 1" hidden="1">
              <a:extLst>
                <a:ext uri="{63B3BB69-23CF-44E3-9099-C40C66FF867C}">
                  <a14:compatExt spid="_x0000_s1843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1</xdr:row>
          <xdr:rowOff>57150</xdr:rowOff>
        </xdr:from>
        <xdr:to>
          <xdr:col>7</xdr:col>
          <xdr:colOff>200025</xdr:colOff>
          <xdr:row>4</xdr:row>
          <xdr:rowOff>47625</xdr:rowOff>
        </xdr:to>
        <xdr:sp macro="" textlink="">
          <xdr:nvSpPr>
            <xdr:cNvPr id="18434" name="Object 2" hidden="1">
              <a:extLst>
                <a:ext uri="{63B3BB69-23CF-44E3-9099-C40C66FF867C}">
                  <a14:compatExt spid="_x0000_s1843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47625</xdr:colOff>
      <xdr:row>3</xdr:row>
      <xdr:rowOff>142875</xdr:rowOff>
    </xdr:from>
    <xdr:to>
      <xdr:col>9</xdr:col>
      <xdr:colOff>590550</xdr:colOff>
      <xdr:row>5</xdr:row>
      <xdr:rowOff>104775</xdr:rowOff>
    </xdr:to>
    <xdr:pic>
      <xdr:nvPicPr>
        <xdr:cNvPr id="2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5534025" y="733425"/>
          <a:ext cx="542925" cy="342900"/>
        </a:xfrm>
        <a:prstGeom prst="rect">
          <a:avLst/>
        </a:prstGeom>
        <a:noFill/>
      </xdr:spPr>
    </xdr:pic>
    <xdr:clientData/>
  </xdr:twoCellAnchor>
  <xdr:twoCellAnchor>
    <xdr:from>
      <xdr:col>9</xdr:col>
      <xdr:colOff>638175</xdr:colOff>
      <xdr:row>22</xdr:row>
      <xdr:rowOff>9525</xdr:rowOff>
    </xdr:from>
    <xdr:to>
      <xdr:col>11</xdr:col>
      <xdr:colOff>523875</xdr:colOff>
      <xdr:row>24</xdr:row>
      <xdr:rowOff>9525</xdr:rowOff>
    </xdr:to>
    <xdr:pic>
      <xdr:nvPicPr>
        <xdr:cNvPr id="3" name="Picture 8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6124575" y="4248150"/>
          <a:ext cx="1914525" cy="390525"/>
        </a:xfrm>
        <a:prstGeom prst="rect">
          <a:avLst/>
        </a:prstGeom>
        <a:noFill/>
      </xdr:spPr>
    </xdr:pic>
    <xdr:clientData/>
  </xdr:twoCellAnchor>
  <xdr:twoCellAnchor>
    <xdr:from>
      <xdr:col>9</xdr:col>
      <xdr:colOff>381000</xdr:colOff>
      <xdr:row>34</xdr:row>
      <xdr:rowOff>171450</xdr:rowOff>
    </xdr:from>
    <xdr:to>
      <xdr:col>11</xdr:col>
      <xdr:colOff>9525</xdr:colOff>
      <xdr:row>38</xdr:row>
      <xdr:rowOff>123825</xdr:rowOff>
    </xdr:to>
    <xdr:pic>
      <xdr:nvPicPr>
        <xdr:cNvPr id="4" name="Picture 9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5867400" y="6715125"/>
          <a:ext cx="1657350" cy="723900"/>
        </a:xfrm>
        <a:prstGeom prst="rect">
          <a:avLst/>
        </a:prstGeom>
        <a:noFill/>
      </xdr:spPr>
    </xdr:pic>
    <xdr:clientData/>
  </xdr:twoCellAnchor>
  <xdr:twoCellAnchor>
    <xdr:from>
      <xdr:col>9</xdr:col>
      <xdr:colOff>695325</xdr:colOff>
      <xdr:row>50</xdr:row>
      <xdr:rowOff>142875</xdr:rowOff>
    </xdr:from>
    <xdr:to>
      <xdr:col>10</xdr:col>
      <xdr:colOff>723900</xdr:colOff>
      <xdr:row>51</xdr:row>
      <xdr:rowOff>161925</xdr:rowOff>
    </xdr:to>
    <xdr:pic>
      <xdr:nvPicPr>
        <xdr:cNvPr id="5" name="Picture 11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6181725" y="9934575"/>
          <a:ext cx="1285875" cy="219075"/>
        </a:xfrm>
        <a:prstGeom prst="rect">
          <a:avLst/>
        </a:prstGeom>
        <a:noFill/>
      </xdr:spPr>
    </xdr:pic>
    <xdr:clientData/>
  </xdr:twoCellAnchor>
  <xdr:twoCellAnchor>
    <xdr:from>
      <xdr:col>9</xdr:col>
      <xdr:colOff>47625</xdr:colOff>
      <xdr:row>52</xdr:row>
      <xdr:rowOff>19050</xdr:rowOff>
    </xdr:from>
    <xdr:to>
      <xdr:col>12</xdr:col>
      <xdr:colOff>381000</xdr:colOff>
      <xdr:row>53</xdr:row>
      <xdr:rowOff>123825</xdr:rowOff>
    </xdr:to>
    <xdr:pic>
      <xdr:nvPicPr>
        <xdr:cNvPr id="6" name="Picture 10"/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5534025" y="10210800"/>
          <a:ext cx="2971800" cy="304800"/>
        </a:xfrm>
        <a:prstGeom prst="rect">
          <a:avLst/>
        </a:prstGeom>
        <a:noFill/>
      </xdr:spPr>
    </xdr:pic>
    <xdr:clientData/>
  </xdr:twoCellAnchor>
  <xdr:twoCellAnchor>
    <xdr:from>
      <xdr:col>17</xdr:col>
      <xdr:colOff>495300</xdr:colOff>
      <xdr:row>2</xdr:row>
      <xdr:rowOff>95250</xdr:rowOff>
    </xdr:from>
    <xdr:to>
      <xdr:col>19</xdr:col>
      <xdr:colOff>161925</xdr:colOff>
      <xdr:row>4</xdr:row>
      <xdr:rowOff>76200</xdr:rowOff>
    </xdr:to>
    <xdr:pic>
      <xdr:nvPicPr>
        <xdr:cNvPr id="7" name="Picture 12"/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11696700" y="485775"/>
          <a:ext cx="885825" cy="371475"/>
        </a:xfrm>
        <a:prstGeom prst="rect">
          <a:avLst/>
        </a:prstGeom>
        <a:noFill/>
      </xdr:spPr>
    </xdr:pic>
    <xdr:clientData/>
  </xdr:twoCellAnchor>
  <xdr:twoCellAnchor>
    <xdr:from>
      <xdr:col>9</xdr:col>
      <xdr:colOff>47625</xdr:colOff>
      <xdr:row>3</xdr:row>
      <xdr:rowOff>142875</xdr:rowOff>
    </xdr:from>
    <xdr:to>
      <xdr:col>9</xdr:col>
      <xdr:colOff>590550</xdr:colOff>
      <xdr:row>5</xdr:row>
      <xdr:rowOff>104775</xdr:rowOff>
    </xdr:to>
    <xdr:pic>
      <xdr:nvPicPr>
        <xdr:cNvPr id="8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5534025" y="733425"/>
          <a:ext cx="542925" cy="342900"/>
        </a:xfrm>
        <a:prstGeom prst="rect">
          <a:avLst/>
        </a:prstGeom>
        <a:noFill/>
      </xdr:spPr>
    </xdr:pic>
    <xdr:clientData/>
  </xdr:twoCellAnchor>
  <xdr:twoCellAnchor>
    <xdr:from>
      <xdr:col>9</xdr:col>
      <xdr:colOff>638175</xdr:colOff>
      <xdr:row>22</xdr:row>
      <xdr:rowOff>9525</xdr:rowOff>
    </xdr:from>
    <xdr:to>
      <xdr:col>11</xdr:col>
      <xdr:colOff>523875</xdr:colOff>
      <xdr:row>24</xdr:row>
      <xdr:rowOff>9525</xdr:rowOff>
    </xdr:to>
    <xdr:pic>
      <xdr:nvPicPr>
        <xdr:cNvPr id="9" name="Picture 8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6124575" y="4248150"/>
          <a:ext cx="1914525" cy="390525"/>
        </a:xfrm>
        <a:prstGeom prst="rect">
          <a:avLst/>
        </a:prstGeom>
        <a:noFill/>
      </xdr:spPr>
    </xdr:pic>
    <xdr:clientData/>
  </xdr:twoCellAnchor>
  <xdr:twoCellAnchor>
    <xdr:from>
      <xdr:col>9</xdr:col>
      <xdr:colOff>381000</xdr:colOff>
      <xdr:row>34</xdr:row>
      <xdr:rowOff>171450</xdr:rowOff>
    </xdr:from>
    <xdr:to>
      <xdr:col>11</xdr:col>
      <xdr:colOff>9525</xdr:colOff>
      <xdr:row>38</xdr:row>
      <xdr:rowOff>123825</xdr:rowOff>
    </xdr:to>
    <xdr:pic>
      <xdr:nvPicPr>
        <xdr:cNvPr id="10" name="Picture 9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5867400" y="6715125"/>
          <a:ext cx="1657350" cy="723900"/>
        </a:xfrm>
        <a:prstGeom prst="rect">
          <a:avLst/>
        </a:prstGeom>
        <a:noFill/>
      </xdr:spPr>
    </xdr:pic>
    <xdr:clientData/>
  </xdr:twoCellAnchor>
  <xdr:twoCellAnchor>
    <xdr:from>
      <xdr:col>9</xdr:col>
      <xdr:colOff>695325</xdr:colOff>
      <xdr:row>50</xdr:row>
      <xdr:rowOff>142875</xdr:rowOff>
    </xdr:from>
    <xdr:to>
      <xdr:col>10</xdr:col>
      <xdr:colOff>723900</xdr:colOff>
      <xdr:row>51</xdr:row>
      <xdr:rowOff>161925</xdr:rowOff>
    </xdr:to>
    <xdr:pic>
      <xdr:nvPicPr>
        <xdr:cNvPr id="11" name="Picture 11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6181725" y="9934575"/>
          <a:ext cx="1285875" cy="219075"/>
        </a:xfrm>
        <a:prstGeom prst="rect">
          <a:avLst/>
        </a:prstGeom>
        <a:noFill/>
      </xdr:spPr>
    </xdr:pic>
    <xdr:clientData/>
  </xdr:twoCellAnchor>
  <xdr:twoCellAnchor>
    <xdr:from>
      <xdr:col>9</xdr:col>
      <xdr:colOff>47625</xdr:colOff>
      <xdr:row>52</xdr:row>
      <xdr:rowOff>19050</xdr:rowOff>
    </xdr:from>
    <xdr:to>
      <xdr:col>12</xdr:col>
      <xdr:colOff>381000</xdr:colOff>
      <xdr:row>53</xdr:row>
      <xdr:rowOff>123825</xdr:rowOff>
    </xdr:to>
    <xdr:pic>
      <xdr:nvPicPr>
        <xdr:cNvPr id="12" name="Picture 10"/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5534025" y="10210800"/>
          <a:ext cx="2971800" cy="304800"/>
        </a:xfrm>
        <a:prstGeom prst="rect">
          <a:avLst/>
        </a:prstGeom>
        <a:noFill/>
      </xdr:spPr>
    </xdr:pic>
    <xdr:clientData/>
  </xdr:twoCellAnchor>
  <xdr:twoCellAnchor>
    <xdr:from>
      <xdr:col>17</xdr:col>
      <xdr:colOff>495300</xdr:colOff>
      <xdr:row>2</xdr:row>
      <xdr:rowOff>95250</xdr:rowOff>
    </xdr:from>
    <xdr:to>
      <xdr:col>19</xdr:col>
      <xdr:colOff>161925</xdr:colOff>
      <xdr:row>4</xdr:row>
      <xdr:rowOff>76200</xdr:rowOff>
    </xdr:to>
    <xdr:pic>
      <xdr:nvPicPr>
        <xdr:cNvPr id="13" name="Picture 12"/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11696700" y="485775"/>
          <a:ext cx="885825" cy="371475"/>
        </a:xfrm>
        <a:prstGeom prst="rect">
          <a:avLst/>
        </a:prstGeom>
        <a:noFill/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1</xdr:row>
          <xdr:rowOff>57150</xdr:rowOff>
        </xdr:from>
        <xdr:to>
          <xdr:col>7</xdr:col>
          <xdr:colOff>200025</xdr:colOff>
          <xdr:row>3</xdr:row>
          <xdr:rowOff>161925</xdr:rowOff>
        </xdr:to>
        <xdr:sp macro="" textlink="">
          <xdr:nvSpPr>
            <xdr:cNvPr id="9217" name="Object 1" hidden="1">
              <a:extLst>
                <a:ext uri="{63B3BB69-23CF-44E3-9099-C40C66FF867C}">
                  <a14:compatExt spid="_x0000_s921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1</xdr:row>
          <xdr:rowOff>57150</xdr:rowOff>
        </xdr:from>
        <xdr:to>
          <xdr:col>7</xdr:col>
          <xdr:colOff>200025</xdr:colOff>
          <xdr:row>4</xdr:row>
          <xdr:rowOff>38100</xdr:rowOff>
        </xdr:to>
        <xdr:sp macro="" textlink="">
          <xdr:nvSpPr>
            <xdr:cNvPr id="9218" name="Object 2" hidden="1">
              <a:extLst>
                <a:ext uri="{63B3BB69-23CF-44E3-9099-C40C66FF867C}">
                  <a14:compatExt spid="_x0000_s921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47625</xdr:colOff>
      <xdr:row>3</xdr:row>
      <xdr:rowOff>142875</xdr:rowOff>
    </xdr:from>
    <xdr:to>
      <xdr:col>9</xdr:col>
      <xdr:colOff>590550</xdr:colOff>
      <xdr:row>5</xdr:row>
      <xdr:rowOff>104775</xdr:rowOff>
    </xdr:to>
    <xdr:pic>
      <xdr:nvPicPr>
        <xdr:cNvPr id="2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5534025" y="733425"/>
          <a:ext cx="542925" cy="342900"/>
        </a:xfrm>
        <a:prstGeom prst="rect">
          <a:avLst/>
        </a:prstGeom>
        <a:noFill/>
      </xdr:spPr>
    </xdr:pic>
    <xdr:clientData/>
  </xdr:twoCellAnchor>
  <xdr:twoCellAnchor>
    <xdr:from>
      <xdr:col>9</xdr:col>
      <xdr:colOff>638175</xdr:colOff>
      <xdr:row>22</xdr:row>
      <xdr:rowOff>9525</xdr:rowOff>
    </xdr:from>
    <xdr:to>
      <xdr:col>11</xdr:col>
      <xdr:colOff>523875</xdr:colOff>
      <xdr:row>24</xdr:row>
      <xdr:rowOff>9525</xdr:rowOff>
    </xdr:to>
    <xdr:pic>
      <xdr:nvPicPr>
        <xdr:cNvPr id="3" name="Picture 8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6124575" y="4248150"/>
          <a:ext cx="1914525" cy="390525"/>
        </a:xfrm>
        <a:prstGeom prst="rect">
          <a:avLst/>
        </a:prstGeom>
        <a:noFill/>
      </xdr:spPr>
    </xdr:pic>
    <xdr:clientData/>
  </xdr:twoCellAnchor>
  <xdr:twoCellAnchor>
    <xdr:from>
      <xdr:col>9</xdr:col>
      <xdr:colOff>381000</xdr:colOff>
      <xdr:row>34</xdr:row>
      <xdr:rowOff>171450</xdr:rowOff>
    </xdr:from>
    <xdr:to>
      <xdr:col>11</xdr:col>
      <xdr:colOff>9525</xdr:colOff>
      <xdr:row>38</xdr:row>
      <xdr:rowOff>123825</xdr:rowOff>
    </xdr:to>
    <xdr:pic>
      <xdr:nvPicPr>
        <xdr:cNvPr id="4" name="Picture 9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5867400" y="6715125"/>
          <a:ext cx="1657350" cy="723900"/>
        </a:xfrm>
        <a:prstGeom prst="rect">
          <a:avLst/>
        </a:prstGeom>
        <a:noFill/>
      </xdr:spPr>
    </xdr:pic>
    <xdr:clientData/>
  </xdr:twoCellAnchor>
  <xdr:twoCellAnchor>
    <xdr:from>
      <xdr:col>9</xdr:col>
      <xdr:colOff>695325</xdr:colOff>
      <xdr:row>50</xdr:row>
      <xdr:rowOff>142875</xdr:rowOff>
    </xdr:from>
    <xdr:to>
      <xdr:col>10</xdr:col>
      <xdr:colOff>723900</xdr:colOff>
      <xdr:row>51</xdr:row>
      <xdr:rowOff>161925</xdr:rowOff>
    </xdr:to>
    <xdr:pic>
      <xdr:nvPicPr>
        <xdr:cNvPr id="5" name="Picture 11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6181725" y="9934575"/>
          <a:ext cx="1285875" cy="219075"/>
        </a:xfrm>
        <a:prstGeom prst="rect">
          <a:avLst/>
        </a:prstGeom>
        <a:noFill/>
      </xdr:spPr>
    </xdr:pic>
    <xdr:clientData/>
  </xdr:twoCellAnchor>
  <xdr:twoCellAnchor>
    <xdr:from>
      <xdr:col>9</xdr:col>
      <xdr:colOff>47625</xdr:colOff>
      <xdr:row>52</xdr:row>
      <xdr:rowOff>19050</xdr:rowOff>
    </xdr:from>
    <xdr:to>
      <xdr:col>12</xdr:col>
      <xdr:colOff>381000</xdr:colOff>
      <xdr:row>53</xdr:row>
      <xdr:rowOff>123825</xdr:rowOff>
    </xdr:to>
    <xdr:pic>
      <xdr:nvPicPr>
        <xdr:cNvPr id="6" name="Picture 10"/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5534025" y="10210800"/>
          <a:ext cx="2971800" cy="304800"/>
        </a:xfrm>
        <a:prstGeom prst="rect">
          <a:avLst/>
        </a:prstGeom>
        <a:noFill/>
      </xdr:spPr>
    </xdr:pic>
    <xdr:clientData/>
  </xdr:twoCellAnchor>
  <xdr:twoCellAnchor>
    <xdr:from>
      <xdr:col>17</xdr:col>
      <xdr:colOff>495300</xdr:colOff>
      <xdr:row>2</xdr:row>
      <xdr:rowOff>95250</xdr:rowOff>
    </xdr:from>
    <xdr:to>
      <xdr:col>19</xdr:col>
      <xdr:colOff>161925</xdr:colOff>
      <xdr:row>4</xdr:row>
      <xdr:rowOff>76200</xdr:rowOff>
    </xdr:to>
    <xdr:pic>
      <xdr:nvPicPr>
        <xdr:cNvPr id="7" name="Picture 12"/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11696700" y="485775"/>
          <a:ext cx="885825" cy="371475"/>
        </a:xfrm>
        <a:prstGeom prst="rect">
          <a:avLst/>
        </a:prstGeom>
        <a:noFill/>
      </xdr:spPr>
    </xdr:pic>
    <xdr:clientData/>
  </xdr:twoCellAnchor>
  <xdr:twoCellAnchor>
    <xdr:from>
      <xdr:col>9</xdr:col>
      <xdr:colOff>47625</xdr:colOff>
      <xdr:row>3</xdr:row>
      <xdr:rowOff>142875</xdr:rowOff>
    </xdr:from>
    <xdr:to>
      <xdr:col>9</xdr:col>
      <xdr:colOff>590550</xdr:colOff>
      <xdr:row>5</xdr:row>
      <xdr:rowOff>104775</xdr:rowOff>
    </xdr:to>
    <xdr:pic>
      <xdr:nvPicPr>
        <xdr:cNvPr id="8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5534025" y="733425"/>
          <a:ext cx="542925" cy="342900"/>
        </a:xfrm>
        <a:prstGeom prst="rect">
          <a:avLst/>
        </a:prstGeom>
        <a:noFill/>
      </xdr:spPr>
    </xdr:pic>
    <xdr:clientData/>
  </xdr:twoCellAnchor>
  <xdr:twoCellAnchor>
    <xdr:from>
      <xdr:col>9</xdr:col>
      <xdr:colOff>638175</xdr:colOff>
      <xdr:row>22</xdr:row>
      <xdr:rowOff>9525</xdr:rowOff>
    </xdr:from>
    <xdr:to>
      <xdr:col>11</xdr:col>
      <xdr:colOff>523875</xdr:colOff>
      <xdr:row>24</xdr:row>
      <xdr:rowOff>9525</xdr:rowOff>
    </xdr:to>
    <xdr:pic>
      <xdr:nvPicPr>
        <xdr:cNvPr id="9" name="Picture 8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6124575" y="4248150"/>
          <a:ext cx="1914525" cy="390525"/>
        </a:xfrm>
        <a:prstGeom prst="rect">
          <a:avLst/>
        </a:prstGeom>
        <a:noFill/>
      </xdr:spPr>
    </xdr:pic>
    <xdr:clientData/>
  </xdr:twoCellAnchor>
  <xdr:twoCellAnchor>
    <xdr:from>
      <xdr:col>9</xdr:col>
      <xdr:colOff>381000</xdr:colOff>
      <xdr:row>34</xdr:row>
      <xdr:rowOff>171450</xdr:rowOff>
    </xdr:from>
    <xdr:to>
      <xdr:col>11</xdr:col>
      <xdr:colOff>9525</xdr:colOff>
      <xdr:row>38</xdr:row>
      <xdr:rowOff>123825</xdr:rowOff>
    </xdr:to>
    <xdr:pic>
      <xdr:nvPicPr>
        <xdr:cNvPr id="10" name="Picture 9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5867400" y="6715125"/>
          <a:ext cx="1657350" cy="723900"/>
        </a:xfrm>
        <a:prstGeom prst="rect">
          <a:avLst/>
        </a:prstGeom>
        <a:noFill/>
      </xdr:spPr>
    </xdr:pic>
    <xdr:clientData/>
  </xdr:twoCellAnchor>
  <xdr:twoCellAnchor>
    <xdr:from>
      <xdr:col>9</xdr:col>
      <xdr:colOff>695325</xdr:colOff>
      <xdr:row>50</xdr:row>
      <xdr:rowOff>142875</xdr:rowOff>
    </xdr:from>
    <xdr:to>
      <xdr:col>10</xdr:col>
      <xdr:colOff>723900</xdr:colOff>
      <xdr:row>51</xdr:row>
      <xdr:rowOff>161925</xdr:rowOff>
    </xdr:to>
    <xdr:pic>
      <xdr:nvPicPr>
        <xdr:cNvPr id="11" name="Picture 11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6181725" y="9934575"/>
          <a:ext cx="1285875" cy="219075"/>
        </a:xfrm>
        <a:prstGeom prst="rect">
          <a:avLst/>
        </a:prstGeom>
        <a:noFill/>
      </xdr:spPr>
    </xdr:pic>
    <xdr:clientData/>
  </xdr:twoCellAnchor>
  <xdr:twoCellAnchor>
    <xdr:from>
      <xdr:col>9</xdr:col>
      <xdr:colOff>47625</xdr:colOff>
      <xdr:row>52</xdr:row>
      <xdr:rowOff>19050</xdr:rowOff>
    </xdr:from>
    <xdr:to>
      <xdr:col>12</xdr:col>
      <xdr:colOff>381000</xdr:colOff>
      <xdr:row>53</xdr:row>
      <xdr:rowOff>123825</xdr:rowOff>
    </xdr:to>
    <xdr:pic>
      <xdr:nvPicPr>
        <xdr:cNvPr id="12" name="Picture 10"/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5534025" y="10210800"/>
          <a:ext cx="2971800" cy="304800"/>
        </a:xfrm>
        <a:prstGeom prst="rect">
          <a:avLst/>
        </a:prstGeom>
        <a:noFill/>
      </xdr:spPr>
    </xdr:pic>
    <xdr:clientData/>
  </xdr:twoCellAnchor>
  <xdr:twoCellAnchor>
    <xdr:from>
      <xdr:col>17</xdr:col>
      <xdr:colOff>495300</xdr:colOff>
      <xdr:row>2</xdr:row>
      <xdr:rowOff>95250</xdr:rowOff>
    </xdr:from>
    <xdr:to>
      <xdr:col>19</xdr:col>
      <xdr:colOff>161925</xdr:colOff>
      <xdr:row>4</xdr:row>
      <xdr:rowOff>76200</xdr:rowOff>
    </xdr:to>
    <xdr:pic>
      <xdr:nvPicPr>
        <xdr:cNvPr id="13" name="Picture 12"/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11696700" y="485775"/>
          <a:ext cx="885825" cy="371475"/>
        </a:xfrm>
        <a:prstGeom prst="rect">
          <a:avLst/>
        </a:prstGeom>
        <a:noFill/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1</xdr:row>
          <xdr:rowOff>57150</xdr:rowOff>
        </xdr:from>
        <xdr:to>
          <xdr:col>7</xdr:col>
          <xdr:colOff>200025</xdr:colOff>
          <xdr:row>3</xdr:row>
          <xdr:rowOff>171450</xdr:rowOff>
        </xdr:to>
        <xdr:sp macro="" textlink="">
          <xdr:nvSpPr>
            <xdr:cNvPr id="10241" name="Object 1" hidden="1">
              <a:extLst>
                <a:ext uri="{63B3BB69-23CF-44E3-9099-C40C66FF867C}">
                  <a14:compatExt spid="_x0000_s1024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1</xdr:row>
          <xdr:rowOff>57150</xdr:rowOff>
        </xdr:from>
        <xdr:to>
          <xdr:col>7</xdr:col>
          <xdr:colOff>200025</xdr:colOff>
          <xdr:row>4</xdr:row>
          <xdr:rowOff>47625</xdr:rowOff>
        </xdr:to>
        <xdr:sp macro="" textlink="">
          <xdr:nvSpPr>
            <xdr:cNvPr id="10242" name="Object 2" hidden="1">
              <a:extLst>
                <a:ext uri="{63B3BB69-23CF-44E3-9099-C40C66FF867C}">
                  <a14:compatExt spid="_x0000_s1024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47625</xdr:colOff>
      <xdr:row>3</xdr:row>
      <xdr:rowOff>142875</xdr:rowOff>
    </xdr:from>
    <xdr:to>
      <xdr:col>9</xdr:col>
      <xdr:colOff>590550</xdr:colOff>
      <xdr:row>5</xdr:row>
      <xdr:rowOff>104775</xdr:rowOff>
    </xdr:to>
    <xdr:pic>
      <xdr:nvPicPr>
        <xdr:cNvPr id="2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5534025" y="733425"/>
          <a:ext cx="542925" cy="342900"/>
        </a:xfrm>
        <a:prstGeom prst="rect">
          <a:avLst/>
        </a:prstGeom>
        <a:noFill/>
      </xdr:spPr>
    </xdr:pic>
    <xdr:clientData/>
  </xdr:twoCellAnchor>
  <xdr:twoCellAnchor>
    <xdr:from>
      <xdr:col>9</xdr:col>
      <xdr:colOff>638175</xdr:colOff>
      <xdr:row>22</xdr:row>
      <xdr:rowOff>9525</xdr:rowOff>
    </xdr:from>
    <xdr:to>
      <xdr:col>11</xdr:col>
      <xdr:colOff>523875</xdr:colOff>
      <xdr:row>24</xdr:row>
      <xdr:rowOff>9525</xdr:rowOff>
    </xdr:to>
    <xdr:pic>
      <xdr:nvPicPr>
        <xdr:cNvPr id="3" name="Picture 8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6124575" y="4229100"/>
          <a:ext cx="1914525" cy="381000"/>
        </a:xfrm>
        <a:prstGeom prst="rect">
          <a:avLst/>
        </a:prstGeom>
        <a:noFill/>
      </xdr:spPr>
    </xdr:pic>
    <xdr:clientData/>
  </xdr:twoCellAnchor>
  <xdr:twoCellAnchor>
    <xdr:from>
      <xdr:col>9</xdr:col>
      <xdr:colOff>381000</xdr:colOff>
      <xdr:row>34</xdr:row>
      <xdr:rowOff>171450</xdr:rowOff>
    </xdr:from>
    <xdr:to>
      <xdr:col>11</xdr:col>
      <xdr:colOff>9525</xdr:colOff>
      <xdr:row>38</xdr:row>
      <xdr:rowOff>123825</xdr:rowOff>
    </xdr:to>
    <xdr:pic>
      <xdr:nvPicPr>
        <xdr:cNvPr id="4" name="Picture 9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5867400" y="6886575"/>
          <a:ext cx="1657350" cy="714375"/>
        </a:xfrm>
        <a:prstGeom prst="rect">
          <a:avLst/>
        </a:prstGeom>
        <a:noFill/>
      </xdr:spPr>
    </xdr:pic>
    <xdr:clientData/>
  </xdr:twoCellAnchor>
  <xdr:twoCellAnchor>
    <xdr:from>
      <xdr:col>9</xdr:col>
      <xdr:colOff>695325</xdr:colOff>
      <xdr:row>50</xdr:row>
      <xdr:rowOff>142875</xdr:rowOff>
    </xdr:from>
    <xdr:to>
      <xdr:col>10</xdr:col>
      <xdr:colOff>723900</xdr:colOff>
      <xdr:row>51</xdr:row>
      <xdr:rowOff>161925</xdr:rowOff>
    </xdr:to>
    <xdr:pic>
      <xdr:nvPicPr>
        <xdr:cNvPr id="5" name="Picture 11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6181725" y="9906000"/>
          <a:ext cx="1285875" cy="219075"/>
        </a:xfrm>
        <a:prstGeom prst="rect">
          <a:avLst/>
        </a:prstGeom>
        <a:noFill/>
      </xdr:spPr>
    </xdr:pic>
    <xdr:clientData/>
  </xdr:twoCellAnchor>
  <xdr:twoCellAnchor>
    <xdr:from>
      <xdr:col>9</xdr:col>
      <xdr:colOff>47625</xdr:colOff>
      <xdr:row>52</xdr:row>
      <xdr:rowOff>19050</xdr:rowOff>
    </xdr:from>
    <xdr:to>
      <xdr:col>12</xdr:col>
      <xdr:colOff>381000</xdr:colOff>
      <xdr:row>53</xdr:row>
      <xdr:rowOff>123825</xdr:rowOff>
    </xdr:to>
    <xdr:pic>
      <xdr:nvPicPr>
        <xdr:cNvPr id="6" name="Picture 10"/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5534025" y="10182225"/>
          <a:ext cx="2971800" cy="304800"/>
        </a:xfrm>
        <a:prstGeom prst="rect">
          <a:avLst/>
        </a:prstGeom>
        <a:noFill/>
      </xdr:spPr>
    </xdr:pic>
    <xdr:clientData/>
  </xdr:twoCellAnchor>
  <xdr:twoCellAnchor>
    <xdr:from>
      <xdr:col>17</xdr:col>
      <xdr:colOff>495300</xdr:colOff>
      <xdr:row>2</xdr:row>
      <xdr:rowOff>95250</xdr:rowOff>
    </xdr:from>
    <xdr:to>
      <xdr:col>19</xdr:col>
      <xdr:colOff>161925</xdr:colOff>
      <xdr:row>4</xdr:row>
      <xdr:rowOff>76200</xdr:rowOff>
    </xdr:to>
    <xdr:pic>
      <xdr:nvPicPr>
        <xdr:cNvPr id="7" name="Picture 12"/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11696700" y="485775"/>
          <a:ext cx="885825" cy="371475"/>
        </a:xfrm>
        <a:prstGeom prst="rect">
          <a:avLst/>
        </a:prstGeom>
        <a:noFill/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1</xdr:row>
          <xdr:rowOff>57150</xdr:rowOff>
        </xdr:from>
        <xdr:to>
          <xdr:col>7</xdr:col>
          <xdr:colOff>200025</xdr:colOff>
          <xdr:row>4</xdr:row>
          <xdr:rowOff>9525</xdr:rowOff>
        </xdr:to>
        <xdr:sp macro="" textlink="">
          <xdr:nvSpPr>
            <xdr:cNvPr id="12289" name="Object 1" hidden="1">
              <a:extLst>
                <a:ext uri="{63B3BB69-23CF-44E3-9099-C40C66FF867C}">
                  <a14:compatExt spid="_x0000_s1228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47625</xdr:colOff>
      <xdr:row>3</xdr:row>
      <xdr:rowOff>142875</xdr:rowOff>
    </xdr:from>
    <xdr:to>
      <xdr:col>9</xdr:col>
      <xdr:colOff>590550</xdr:colOff>
      <xdr:row>5</xdr:row>
      <xdr:rowOff>104775</xdr:rowOff>
    </xdr:to>
    <xdr:pic>
      <xdr:nvPicPr>
        <xdr:cNvPr id="2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5534025" y="733425"/>
          <a:ext cx="542925" cy="342900"/>
        </a:xfrm>
        <a:prstGeom prst="rect">
          <a:avLst/>
        </a:prstGeom>
        <a:noFill/>
      </xdr:spPr>
    </xdr:pic>
    <xdr:clientData/>
  </xdr:twoCellAnchor>
  <xdr:twoCellAnchor>
    <xdr:from>
      <xdr:col>9</xdr:col>
      <xdr:colOff>638175</xdr:colOff>
      <xdr:row>22</xdr:row>
      <xdr:rowOff>9525</xdr:rowOff>
    </xdr:from>
    <xdr:to>
      <xdr:col>11</xdr:col>
      <xdr:colOff>523875</xdr:colOff>
      <xdr:row>24</xdr:row>
      <xdr:rowOff>9525</xdr:rowOff>
    </xdr:to>
    <xdr:pic>
      <xdr:nvPicPr>
        <xdr:cNvPr id="3" name="Picture 8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6124575" y="4248150"/>
          <a:ext cx="1914525" cy="390525"/>
        </a:xfrm>
        <a:prstGeom prst="rect">
          <a:avLst/>
        </a:prstGeom>
        <a:noFill/>
      </xdr:spPr>
    </xdr:pic>
    <xdr:clientData/>
  </xdr:twoCellAnchor>
  <xdr:twoCellAnchor>
    <xdr:from>
      <xdr:col>9</xdr:col>
      <xdr:colOff>381000</xdr:colOff>
      <xdr:row>34</xdr:row>
      <xdr:rowOff>171450</xdr:rowOff>
    </xdr:from>
    <xdr:to>
      <xdr:col>11</xdr:col>
      <xdr:colOff>9525</xdr:colOff>
      <xdr:row>38</xdr:row>
      <xdr:rowOff>123825</xdr:rowOff>
    </xdr:to>
    <xdr:pic>
      <xdr:nvPicPr>
        <xdr:cNvPr id="4" name="Picture 9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5867400" y="6715125"/>
          <a:ext cx="1657350" cy="723900"/>
        </a:xfrm>
        <a:prstGeom prst="rect">
          <a:avLst/>
        </a:prstGeom>
        <a:noFill/>
      </xdr:spPr>
    </xdr:pic>
    <xdr:clientData/>
  </xdr:twoCellAnchor>
  <xdr:twoCellAnchor>
    <xdr:from>
      <xdr:col>9</xdr:col>
      <xdr:colOff>695325</xdr:colOff>
      <xdr:row>50</xdr:row>
      <xdr:rowOff>142875</xdr:rowOff>
    </xdr:from>
    <xdr:to>
      <xdr:col>10</xdr:col>
      <xdr:colOff>723900</xdr:colOff>
      <xdr:row>51</xdr:row>
      <xdr:rowOff>161925</xdr:rowOff>
    </xdr:to>
    <xdr:pic>
      <xdr:nvPicPr>
        <xdr:cNvPr id="5" name="Picture 11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6181725" y="9934575"/>
          <a:ext cx="1285875" cy="219075"/>
        </a:xfrm>
        <a:prstGeom prst="rect">
          <a:avLst/>
        </a:prstGeom>
        <a:noFill/>
      </xdr:spPr>
    </xdr:pic>
    <xdr:clientData/>
  </xdr:twoCellAnchor>
  <xdr:twoCellAnchor>
    <xdr:from>
      <xdr:col>9</xdr:col>
      <xdr:colOff>47625</xdr:colOff>
      <xdr:row>52</xdr:row>
      <xdr:rowOff>19050</xdr:rowOff>
    </xdr:from>
    <xdr:to>
      <xdr:col>12</xdr:col>
      <xdr:colOff>381000</xdr:colOff>
      <xdr:row>53</xdr:row>
      <xdr:rowOff>123825</xdr:rowOff>
    </xdr:to>
    <xdr:pic>
      <xdr:nvPicPr>
        <xdr:cNvPr id="6" name="Picture 10"/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5534025" y="10210800"/>
          <a:ext cx="2971800" cy="304800"/>
        </a:xfrm>
        <a:prstGeom prst="rect">
          <a:avLst/>
        </a:prstGeom>
        <a:noFill/>
      </xdr:spPr>
    </xdr:pic>
    <xdr:clientData/>
  </xdr:twoCellAnchor>
  <xdr:twoCellAnchor>
    <xdr:from>
      <xdr:col>17</xdr:col>
      <xdr:colOff>495300</xdr:colOff>
      <xdr:row>2</xdr:row>
      <xdr:rowOff>95250</xdr:rowOff>
    </xdr:from>
    <xdr:to>
      <xdr:col>19</xdr:col>
      <xdr:colOff>161925</xdr:colOff>
      <xdr:row>4</xdr:row>
      <xdr:rowOff>76200</xdr:rowOff>
    </xdr:to>
    <xdr:pic>
      <xdr:nvPicPr>
        <xdr:cNvPr id="7" name="Picture 12"/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11696700" y="485775"/>
          <a:ext cx="885825" cy="371475"/>
        </a:xfrm>
        <a:prstGeom prst="rect">
          <a:avLst/>
        </a:prstGeom>
        <a:noFill/>
      </xdr:spPr>
    </xdr:pic>
    <xdr:clientData/>
  </xdr:twoCellAnchor>
  <xdr:twoCellAnchor>
    <xdr:from>
      <xdr:col>9</xdr:col>
      <xdr:colOff>47625</xdr:colOff>
      <xdr:row>3</xdr:row>
      <xdr:rowOff>142875</xdr:rowOff>
    </xdr:from>
    <xdr:to>
      <xdr:col>9</xdr:col>
      <xdr:colOff>590550</xdr:colOff>
      <xdr:row>5</xdr:row>
      <xdr:rowOff>104775</xdr:rowOff>
    </xdr:to>
    <xdr:pic>
      <xdr:nvPicPr>
        <xdr:cNvPr id="8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5534025" y="733425"/>
          <a:ext cx="542925" cy="342900"/>
        </a:xfrm>
        <a:prstGeom prst="rect">
          <a:avLst/>
        </a:prstGeom>
        <a:noFill/>
      </xdr:spPr>
    </xdr:pic>
    <xdr:clientData/>
  </xdr:twoCellAnchor>
  <xdr:twoCellAnchor>
    <xdr:from>
      <xdr:col>9</xdr:col>
      <xdr:colOff>638175</xdr:colOff>
      <xdr:row>22</xdr:row>
      <xdr:rowOff>9525</xdr:rowOff>
    </xdr:from>
    <xdr:to>
      <xdr:col>11</xdr:col>
      <xdr:colOff>523875</xdr:colOff>
      <xdr:row>24</xdr:row>
      <xdr:rowOff>9525</xdr:rowOff>
    </xdr:to>
    <xdr:pic>
      <xdr:nvPicPr>
        <xdr:cNvPr id="9" name="Picture 8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6124575" y="4248150"/>
          <a:ext cx="1914525" cy="390525"/>
        </a:xfrm>
        <a:prstGeom prst="rect">
          <a:avLst/>
        </a:prstGeom>
        <a:noFill/>
      </xdr:spPr>
    </xdr:pic>
    <xdr:clientData/>
  </xdr:twoCellAnchor>
  <xdr:twoCellAnchor>
    <xdr:from>
      <xdr:col>9</xdr:col>
      <xdr:colOff>381000</xdr:colOff>
      <xdr:row>34</xdr:row>
      <xdr:rowOff>171450</xdr:rowOff>
    </xdr:from>
    <xdr:to>
      <xdr:col>11</xdr:col>
      <xdr:colOff>9525</xdr:colOff>
      <xdr:row>38</xdr:row>
      <xdr:rowOff>123825</xdr:rowOff>
    </xdr:to>
    <xdr:pic>
      <xdr:nvPicPr>
        <xdr:cNvPr id="10" name="Picture 9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5867400" y="6715125"/>
          <a:ext cx="1657350" cy="723900"/>
        </a:xfrm>
        <a:prstGeom prst="rect">
          <a:avLst/>
        </a:prstGeom>
        <a:noFill/>
      </xdr:spPr>
    </xdr:pic>
    <xdr:clientData/>
  </xdr:twoCellAnchor>
  <xdr:twoCellAnchor>
    <xdr:from>
      <xdr:col>9</xdr:col>
      <xdr:colOff>695325</xdr:colOff>
      <xdr:row>50</xdr:row>
      <xdr:rowOff>142875</xdr:rowOff>
    </xdr:from>
    <xdr:to>
      <xdr:col>10</xdr:col>
      <xdr:colOff>723900</xdr:colOff>
      <xdr:row>51</xdr:row>
      <xdr:rowOff>161925</xdr:rowOff>
    </xdr:to>
    <xdr:pic>
      <xdr:nvPicPr>
        <xdr:cNvPr id="11" name="Picture 11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6181725" y="9934575"/>
          <a:ext cx="1285875" cy="219075"/>
        </a:xfrm>
        <a:prstGeom prst="rect">
          <a:avLst/>
        </a:prstGeom>
        <a:noFill/>
      </xdr:spPr>
    </xdr:pic>
    <xdr:clientData/>
  </xdr:twoCellAnchor>
  <xdr:twoCellAnchor>
    <xdr:from>
      <xdr:col>9</xdr:col>
      <xdr:colOff>47625</xdr:colOff>
      <xdr:row>52</xdr:row>
      <xdr:rowOff>19050</xdr:rowOff>
    </xdr:from>
    <xdr:to>
      <xdr:col>12</xdr:col>
      <xdr:colOff>381000</xdr:colOff>
      <xdr:row>53</xdr:row>
      <xdr:rowOff>123825</xdr:rowOff>
    </xdr:to>
    <xdr:pic>
      <xdr:nvPicPr>
        <xdr:cNvPr id="12" name="Picture 10"/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5534025" y="10210800"/>
          <a:ext cx="2971800" cy="304800"/>
        </a:xfrm>
        <a:prstGeom prst="rect">
          <a:avLst/>
        </a:prstGeom>
        <a:noFill/>
      </xdr:spPr>
    </xdr:pic>
    <xdr:clientData/>
  </xdr:twoCellAnchor>
  <xdr:twoCellAnchor>
    <xdr:from>
      <xdr:col>17</xdr:col>
      <xdr:colOff>495300</xdr:colOff>
      <xdr:row>2</xdr:row>
      <xdr:rowOff>95250</xdr:rowOff>
    </xdr:from>
    <xdr:to>
      <xdr:col>19</xdr:col>
      <xdr:colOff>161925</xdr:colOff>
      <xdr:row>4</xdr:row>
      <xdr:rowOff>76200</xdr:rowOff>
    </xdr:to>
    <xdr:pic>
      <xdr:nvPicPr>
        <xdr:cNvPr id="13" name="Picture 12"/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11696700" y="485775"/>
          <a:ext cx="885825" cy="371475"/>
        </a:xfrm>
        <a:prstGeom prst="rect">
          <a:avLst/>
        </a:prstGeom>
        <a:noFill/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1</xdr:row>
          <xdr:rowOff>57150</xdr:rowOff>
        </xdr:from>
        <xdr:to>
          <xdr:col>7</xdr:col>
          <xdr:colOff>200025</xdr:colOff>
          <xdr:row>3</xdr:row>
          <xdr:rowOff>171450</xdr:rowOff>
        </xdr:to>
        <xdr:sp macro="" textlink="">
          <xdr:nvSpPr>
            <xdr:cNvPr id="11265" name="Object 1" hidden="1">
              <a:extLst>
                <a:ext uri="{63B3BB69-23CF-44E3-9099-C40C66FF867C}">
                  <a14:compatExt spid="_x0000_s1126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1</xdr:row>
          <xdr:rowOff>57150</xdr:rowOff>
        </xdr:from>
        <xdr:to>
          <xdr:col>7</xdr:col>
          <xdr:colOff>200025</xdr:colOff>
          <xdr:row>4</xdr:row>
          <xdr:rowOff>47625</xdr:rowOff>
        </xdr:to>
        <xdr:sp macro="" textlink="">
          <xdr:nvSpPr>
            <xdr:cNvPr id="11266" name="Object 2" hidden="1">
              <a:extLst>
                <a:ext uri="{63B3BB69-23CF-44E3-9099-C40C66FF867C}">
                  <a14:compatExt spid="_x0000_s1126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47625</xdr:colOff>
      <xdr:row>3</xdr:row>
      <xdr:rowOff>142875</xdr:rowOff>
    </xdr:from>
    <xdr:to>
      <xdr:col>9</xdr:col>
      <xdr:colOff>590550</xdr:colOff>
      <xdr:row>5</xdr:row>
      <xdr:rowOff>104775</xdr:rowOff>
    </xdr:to>
    <xdr:pic>
      <xdr:nvPicPr>
        <xdr:cNvPr id="2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5534025" y="733425"/>
          <a:ext cx="542925" cy="342900"/>
        </a:xfrm>
        <a:prstGeom prst="rect">
          <a:avLst/>
        </a:prstGeom>
        <a:noFill/>
      </xdr:spPr>
    </xdr:pic>
    <xdr:clientData/>
  </xdr:twoCellAnchor>
  <xdr:twoCellAnchor>
    <xdr:from>
      <xdr:col>9</xdr:col>
      <xdr:colOff>638175</xdr:colOff>
      <xdr:row>22</xdr:row>
      <xdr:rowOff>9525</xdr:rowOff>
    </xdr:from>
    <xdr:to>
      <xdr:col>11</xdr:col>
      <xdr:colOff>523875</xdr:colOff>
      <xdr:row>24</xdr:row>
      <xdr:rowOff>9525</xdr:rowOff>
    </xdr:to>
    <xdr:pic>
      <xdr:nvPicPr>
        <xdr:cNvPr id="3" name="Picture 8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6124575" y="4229100"/>
          <a:ext cx="1914525" cy="381000"/>
        </a:xfrm>
        <a:prstGeom prst="rect">
          <a:avLst/>
        </a:prstGeom>
        <a:noFill/>
      </xdr:spPr>
    </xdr:pic>
    <xdr:clientData/>
  </xdr:twoCellAnchor>
  <xdr:twoCellAnchor>
    <xdr:from>
      <xdr:col>9</xdr:col>
      <xdr:colOff>381000</xdr:colOff>
      <xdr:row>34</xdr:row>
      <xdr:rowOff>171450</xdr:rowOff>
    </xdr:from>
    <xdr:to>
      <xdr:col>11</xdr:col>
      <xdr:colOff>9525</xdr:colOff>
      <xdr:row>38</xdr:row>
      <xdr:rowOff>123825</xdr:rowOff>
    </xdr:to>
    <xdr:pic>
      <xdr:nvPicPr>
        <xdr:cNvPr id="4" name="Picture 9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5867400" y="6886575"/>
          <a:ext cx="1657350" cy="714375"/>
        </a:xfrm>
        <a:prstGeom prst="rect">
          <a:avLst/>
        </a:prstGeom>
        <a:noFill/>
      </xdr:spPr>
    </xdr:pic>
    <xdr:clientData/>
  </xdr:twoCellAnchor>
  <xdr:twoCellAnchor>
    <xdr:from>
      <xdr:col>9</xdr:col>
      <xdr:colOff>695325</xdr:colOff>
      <xdr:row>50</xdr:row>
      <xdr:rowOff>142875</xdr:rowOff>
    </xdr:from>
    <xdr:to>
      <xdr:col>10</xdr:col>
      <xdr:colOff>723900</xdr:colOff>
      <xdr:row>51</xdr:row>
      <xdr:rowOff>161925</xdr:rowOff>
    </xdr:to>
    <xdr:pic>
      <xdr:nvPicPr>
        <xdr:cNvPr id="5" name="Picture 11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6181725" y="9906000"/>
          <a:ext cx="1285875" cy="219075"/>
        </a:xfrm>
        <a:prstGeom prst="rect">
          <a:avLst/>
        </a:prstGeom>
        <a:noFill/>
      </xdr:spPr>
    </xdr:pic>
    <xdr:clientData/>
  </xdr:twoCellAnchor>
  <xdr:twoCellAnchor>
    <xdr:from>
      <xdr:col>9</xdr:col>
      <xdr:colOff>47625</xdr:colOff>
      <xdr:row>52</xdr:row>
      <xdr:rowOff>19050</xdr:rowOff>
    </xdr:from>
    <xdr:to>
      <xdr:col>12</xdr:col>
      <xdr:colOff>381000</xdr:colOff>
      <xdr:row>53</xdr:row>
      <xdr:rowOff>123825</xdr:rowOff>
    </xdr:to>
    <xdr:pic>
      <xdr:nvPicPr>
        <xdr:cNvPr id="6" name="Picture 10"/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5534025" y="10182225"/>
          <a:ext cx="2971800" cy="304800"/>
        </a:xfrm>
        <a:prstGeom prst="rect">
          <a:avLst/>
        </a:prstGeom>
        <a:noFill/>
      </xdr:spPr>
    </xdr:pic>
    <xdr:clientData/>
  </xdr:twoCellAnchor>
  <xdr:twoCellAnchor>
    <xdr:from>
      <xdr:col>17</xdr:col>
      <xdr:colOff>495300</xdr:colOff>
      <xdr:row>2</xdr:row>
      <xdr:rowOff>95250</xdr:rowOff>
    </xdr:from>
    <xdr:to>
      <xdr:col>19</xdr:col>
      <xdr:colOff>161925</xdr:colOff>
      <xdr:row>4</xdr:row>
      <xdr:rowOff>76200</xdr:rowOff>
    </xdr:to>
    <xdr:pic>
      <xdr:nvPicPr>
        <xdr:cNvPr id="7" name="Picture 12"/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11696700" y="485775"/>
          <a:ext cx="885825" cy="371475"/>
        </a:xfrm>
        <a:prstGeom prst="rect">
          <a:avLst/>
        </a:prstGeom>
        <a:noFill/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1</xdr:row>
          <xdr:rowOff>57150</xdr:rowOff>
        </xdr:from>
        <xdr:to>
          <xdr:col>7</xdr:col>
          <xdr:colOff>200025</xdr:colOff>
          <xdr:row>4</xdr:row>
          <xdr:rowOff>19050</xdr:rowOff>
        </xdr:to>
        <xdr:sp macro="" textlink="">
          <xdr:nvSpPr>
            <xdr:cNvPr id="13313" name="Object 1" hidden="1">
              <a:extLst>
                <a:ext uri="{63B3BB69-23CF-44E3-9099-C40C66FF867C}">
                  <a14:compatExt spid="_x0000_s1331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47625</xdr:colOff>
      <xdr:row>3</xdr:row>
      <xdr:rowOff>142875</xdr:rowOff>
    </xdr:from>
    <xdr:to>
      <xdr:col>9</xdr:col>
      <xdr:colOff>590550</xdr:colOff>
      <xdr:row>5</xdr:row>
      <xdr:rowOff>104775</xdr:rowOff>
    </xdr:to>
    <xdr:pic>
      <xdr:nvPicPr>
        <xdr:cNvPr id="2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5534025" y="733425"/>
          <a:ext cx="542925" cy="342900"/>
        </a:xfrm>
        <a:prstGeom prst="rect">
          <a:avLst/>
        </a:prstGeom>
        <a:noFill/>
      </xdr:spPr>
    </xdr:pic>
    <xdr:clientData/>
  </xdr:twoCellAnchor>
  <xdr:twoCellAnchor>
    <xdr:from>
      <xdr:col>9</xdr:col>
      <xdr:colOff>638175</xdr:colOff>
      <xdr:row>22</xdr:row>
      <xdr:rowOff>9525</xdr:rowOff>
    </xdr:from>
    <xdr:to>
      <xdr:col>11</xdr:col>
      <xdr:colOff>523875</xdr:colOff>
      <xdr:row>24</xdr:row>
      <xdr:rowOff>9525</xdr:rowOff>
    </xdr:to>
    <xdr:pic>
      <xdr:nvPicPr>
        <xdr:cNvPr id="3" name="Picture 8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6124575" y="4229100"/>
          <a:ext cx="1914525" cy="381000"/>
        </a:xfrm>
        <a:prstGeom prst="rect">
          <a:avLst/>
        </a:prstGeom>
        <a:noFill/>
      </xdr:spPr>
    </xdr:pic>
    <xdr:clientData/>
  </xdr:twoCellAnchor>
  <xdr:twoCellAnchor>
    <xdr:from>
      <xdr:col>9</xdr:col>
      <xdr:colOff>381000</xdr:colOff>
      <xdr:row>34</xdr:row>
      <xdr:rowOff>171450</xdr:rowOff>
    </xdr:from>
    <xdr:to>
      <xdr:col>11</xdr:col>
      <xdr:colOff>9525</xdr:colOff>
      <xdr:row>38</xdr:row>
      <xdr:rowOff>123825</xdr:rowOff>
    </xdr:to>
    <xdr:pic>
      <xdr:nvPicPr>
        <xdr:cNvPr id="4" name="Picture 9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5867400" y="6886575"/>
          <a:ext cx="1657350" cy="714375"/>
        </a:xfrm>
        <a:prstGeom prst="rect">
          <a:avLst/>
        </a:prstGeom>
        <a:noFill/>
      </xdr:spPr>
    </xdr:pic>
    <xdr:clientData/>
  </xdr:twoCellAnchor>
  <xdr:twoCellAnchor>
    <xdr:from>
      <xdr:col>9</xdr:col>
      <xdr:colOff>695325</xdr:colOff>
      <xdr:row>50</xdr:row>
      <xdr:rowOff>142875</xdr:rowOff>
    </xdr:from>
    <xdr:to>
      <xdr:col>10</xdr:col>
      <xdr:colOff>723900</xdr:colOff>
      <xdr:row>51</xdr:row>
      <xdr:rowOff>161925</xdr:rowOff>
    </xdr:to>
    <xdr:pic>
      <xdr:nvPicPr>
        <xdr:cNvPr id="5" name="Picture 11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6181725" y="9906000"/>
          <a:ext cx="1285875" cy="219075"/>
        </a:xfrm>
        <a:prstGeom prst="rect">
          <a:avLst/>
        </a:prstGeom>
        <a:noFill/>
      </xdr:spPr>
    </xdr:pic>
    <xdr:clientData/>
  </xdr:twoCellAnchor>
  <xdr:twoCellAnchor>
    <xdr:from>
      <xdr:col>9</xdr:col>
      <xdr:colOff>47625</xdr:colOff>
      <xdr:row>52</xdr:row>
      <xdr:rowOff>19050</xdr:rowOff>
    </xdr:from>
    <xdr:to>
      <xdr:col>12</xdr:col>
      <xdr:colOff>381000</xdr:colOff>
      <xdr:row>53</xdr:row>
      <xdr:rowOff>123825</xdr:rowOff>
    </xdr:to>
    <xdr:pic>
      <xdr:nvPicPr>
        <xdr:cNvPr id="6" name="Picture 10"/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5534025" y="10182225"/>
          <a:ext cx="2971800" cy="304800"/>
        </a:xfrm>
        <a:prstGeom prst="rect">
          <a:avLst/>
        </a:prstGeom>
        <a:noFill/>
      </xdr:spPr>
    </xdr:pic>
    <xdr:clientData/>
  </xdr:twoCellAnchor>
  <xdr:twoCellAnchor>
    <xdr:from>
      <xdr:col>17</xdr:col>
      <xdr:colOff>495300</xdr:colOff>
      <xdr:row>2</xdr:row>
      <xdr:rowOff>95250</xdr:rowOff>
    </xdr:from>
    <xdr:to>
      <xdr:col>19</xdr:col>
      <xdr:colOff>161925</xdr:colOff>
      <xdr:row>4</xdr:row>
      <xdr:rowOff>76200</xdr:rowOff>
    </xdr:to>
    <xdr:pic>
      <xdr:nvPicPr>
        <xdr:cNvPr id="7" name="Picture 12"/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11696700" y="485775"/>
          <a:ext cx="885825" cy="371475"/>
        </a:xfrm>
        <a:prstGeom prst="rect">
          <a:avLst/>
        </a:prstGeom>
        <a:noFill/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1</xdr:row>
          <xdr:rowOff>57150</xdr:rowOff>
        </xdr:from>
        <xdr:to>
          <xdr:col>7</xdr:col>
          <xdr:colOff>200025</xdr:colOff>
          <xdr:row>4</xdr:row>
          <xdr:rowOff>19050</xdr:rowOff>
        </xdr:to>
        <xdr:sp macro="" textlink="">
          <xdr:nvSpPr>
            <xdr:cNvPr id="14337" name="Object 1" hidden="1">
              <a:extLst>
                <a:ext uri="{63B3BB69-23CF-44E3-9099-C40C66FF867C}">
                  <a14:compatExt spid="_x0000_s1433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47625</xdr:colOff>
      <xdr:row>3</xdr:row>
      <xdr:rowOff>142875</xdr:rowOff>
    </xdr:from>
    <xdr:to>
      <xdr:col>9</xdr:col>
      <xdr:colOff>590550</xdr:colOff>
      <xdr:row>5</xdr:row>
      <xdr:rowOff>104775</xdr:rowOff>
    </xdr:to>
    <xdr:pic>
      <xdr:nvPicPr>
        <xdr:cNvPr id="2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5534025" y="733425"/>
          <a:ext cx="542925" cy="342900"/>
        </a:xfrm>
        <a:prstGeom prst="rect">
          <a:avLst/>
        </a:prstGeom>
        <a:noFill/>
      </xdr:spPr>
    </xdr:pic>
    <xdr:clientData/>
  </xdr:twoCellAnchor>
  <xdr:twoCellAnchor>
    <xdr:from>
      <xdr:col>9</xdr:col>
      <xdr:colOff>638175</xdr:colOff>
      <xdr:row>22</xdr:row>
      <xdr:rowOff>9525</xdr:rowOff>
    </xdr:from>
    <xdr:to>
      <xdr:col>11</xdr:col>
      <xdr:colOff>523875</xdr:colOff>
      <xdr:row>24</xdr:row>
      <xdr:rowOff>9525</xdr:rowOff>
    </xdr:to>
    <xdr:pic>
      <xdr:nvPicPr>
        <xdr:cNvPr id="3" name="Picture 8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6124575" y="4229100"/>
          <a:ext cx="1914525" cy="381000"/>
        </a:xfrm>
        <a:prstGeom prst="rect">
          <a:avLst/>
        </a:prstGeom>
        <a:noFill/>
      </xdr:spPr>
    </xdr:pic>
    <xdr:clientData/>
  </xdr:twoCellAnchor>
  <xdr:twoCellAnchor>
    <xdr:from>
      <xdr:col>9</xdr:col>
      <xdr:colOff>381000</xdr:colOff>
      <xdr:row>34</xdr:row>
      <xdr:rowOff>171450</xdr:rowOff>
    </xdr:from>
    <xdr:to>
      <xdr:col>11</xdr:col>
      <xdr:colOff>9525</xdr:colOff>
      <xdr:row>38</xdr:row>
      <xdr:rowOff>123825</xdr:rowOff>
    </xdr:to>
    <xdr:pic>
      <xdr:nvPicPr>
        <xdr:cNvPr id="4" name="Picture 9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5867400" y="6886575"/>
          <a:ext cx="1657350" cy="714375"/>
        </a:xfrm>
        <a:prstGeom prst="rect">
          <a:avLst/>
        </a:prstGeom>
        <a:noFill/>
      </xdr:spPr>
    </xdr:pic>
    <xdr:clientData/>
  </xdr:twoCellAnchor>
  <xdr:twoCellAnchor>
    <xdr:from>
      <xdr:col>9</xdr:col>
      <xdr:colOff>695325</xdr:colOff>
      <xdr:row>50</xdr:row>
      <xdr:rowOff>142875</xdr:rowOff>
    </xdr:from>
    <xdr:to>
      <xdr:col>10</xdr:col>
      <xdr:colOff>723900</xdr:colOff>
      <xdr:row>51</xdr:row>
      <xdr:rowOff>161925</xdr:rowOff>
    </xdr:to>
    <xdr:pic>
      <xdr:nvPicPr>
        <xdr:cNvPr id="5" name="Picture 11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6181725" y="9906000"/>
          <a:ext cx="1285875" cy="219075"/>
        </a:xfrm>
        <a:prstGeom prst="rect">
          <a:avLst/>
        </a:prstGeom>
        <a:noFill/>
      </xdr:spPr>
    </xdr:pic>
    <xdr:clientData/>
  </xdr:twoCellAnchor>
  <xdr:twoCellAnchor>
    <xdr:from>
      <xdr:col>9</xdr:col>
      <xdr:colOff>47625</xdr:colOff>
      <xdr:row>52</xdr:row>
      <xdr:rowOff>19050</xdr:rowOff>
    </xdr:from>
    <xdr:to>
      <xdr:col>12</xdr:col>
      <xdr:colOff>381000</xdr:colOff>
      <xdr:row>53</xdr:row>
      <xdr:rowOff>123825</xdr:rowOff>
    </xdr:to>
    <xdr:pic>
      <xdr:nvPicPr>
        <xdr:cNvPr id="6" name="Picture 10"/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5534025" y="10182225"/>
          <a:ext cx="2971800" cy="304800"/>
        </a:xfrm>
        <a:prstGeom prst="rect">
          <a:avLst/>
        </a:prstGeom>
        <a:noFill/>
      </xdr:spPr>
    </xdr:pic>
    <xdr:clientData/>
  </xdr:twoCellAnchor>
  <xdr:twoCellAnchor>
    <xdr:from>
      <xdr:col>17</xdr:col>
      <xdr:colOff>495300</xdr:colOff>
      <xdr:row>2</xdr:row>
      <xdr:rowOff>95250</xdr:rowOff>
    </xdr:from>
    <xdr:to>
      <xdr:col>19</xdr:col>
      <xdr:colOff>161925</xdr:colOff>
      <xdr:row>4</xdr:row>
      <xdr:rowOff>76200</xdr:rowOff>
    </xdr:to>
    <xdr:pic>
      <xdr:nvPicPr>
        <xdr:cNvPr id="7" name="Picture 12"/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11696700" y="485775"/>
          <a:ext cx="885825" cy="371475"/>
        </a:xfrm>
        <a:prstGeom prst="rect">
          <a:avLst/>
        </a:prstGeom>
        <a:noFill/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1</xdr:row>
          <xdr:rowOff>57150</xdr:rowOff>
        </xdr:from>
        <xdr:to>
          <xdr:col>7</xdr:col>
          <xdr:colOff>200025</xdr:colOff>
          <xdr:row>4</xdr:row>
          <xdr:rowOff>9525</xdr:rowOff>
        </xdr:to>
        <xdr:sp macro="" textlink="">
          <xdr:nvSpPr>
            <xdr:cNvPr id="15361" name="Object 1" hidden="1">
              <a:extLst>
                <a:ext uri="{63B3BB69-23CF-44E3-9099-C40C66FF867C}">
                  <a14:compatExt spid="_x0000_s1536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47625</xdr:colOff>
      <xdr:row>3</xdr:row>
      <xdr:rowOff>142875</xdr:rowOff>
    </xdr:from>
    <xdr:to>
      <xdr:col>13</xdr:col>
      <xdr:colOff>590550</xdr:colOff>
      <xdr:row>5</xdr:row>
      <xdr:rowOff>104775</xdr:rowOff>
    </xdr:to>
    <xdr:pic>
      <xdr:nvPicPr>
        <xdr:cNvPr id="2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5534025" y="733425"/>
          <a:ext cx="542925" cy="342900"/>
        </a:xfrm>
        <a:prstGeom prst="rect">
          <a:avLst/>
        </a:prstGeom>
        <a:noFill/>
      </xdr:spPr>
    </xdr:pic>
    <xdr:clientData/>
  </xdr:twoCellAnchor>
  <xdr:twoCellAnchor>
    <xdr:from>
      <xdr:col>13</xdr:col>
      <xdr:colOff>638175</xdr:colOff>
      <xdr:row>22</xdr:row>
      <xdr:rowOff>9525</xdr:rowOff>
    </xdr:from>
    <xdr:to>
      <xdr:col>15</xdr:col>
      <xdr:colOff>523875</xdr:colOff>
      <xdr:row>24</xdr:row>
      <xdr:rowOff>9525</xdr:rowOff>
    </xdr:to>
    <xdr:pic>
      <xdr:nvPicPr>
        <xdr:cNvPr id="3" name="Picture 8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6124575" y="4248150"/>
          <a:ext cx="1914525" cy="390525"/>
        </a:xfrm>
        <a:prstGeom prst="rect">
          <a:avLst/>
        </a:prstGeom>
        <a:noFill/>
      </xdr:spPr>
    </xdr:pic>
    <xdr:clientData/>
  </xdr:twoCellAnchor>
  <xdr:twoCellAnchor>
    <xdr:from>
      <xdr:col>13</xdr:col>
      <xdr:colOff>381000</xdr:colOff>
      <xdr:row>34</xdr:row>
      <xdr:rowOff>171450</xdr:rowOff>
    </xdr:from>
    <xdr:to>
      <xdr:col>15</xdr:col>
      <xdr:colOff>9525</xdr:colOff>
      <xdr:row>38</xdr:row>
      <xdr:rowOff>123825</xdr:rowOff>
    </xdr:to>
    <xdr:pic>
      <xdr:nvPicPr>
        <xdr:cNvPr id="4" name="Picture 9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5867400" y="6715125"/>
          <a:ext cx="1657350" cy="723900"/>
        </a:xfrm>
        <a:prstGeom prst="rect">
          <a:avLst/>
        </a:prstGeom>
        <a:noFill/>
      </xdr:spPr>
    </xdr:pic>
    <xdr:clientData/>
  </xdr:twoCellAnchor>
  <xdr:twoCellAnchor>
    <xdr:from>
      <xdr:col>13</xdr:col>
      <xdr:colOff>695325</xdr:colOff>
      <xdr:row>50</xdr:row>
      <xdr:rowOff>142875</xdr:rowOff>
    </xdr:from>
    <xdr:to>
      <xdr:col>14</xdr:col>
      <xdr:colOff>723900</xdr:colOff>
      <xdr:row>51</xdr:row>
      <xdr:rowOff>161925</xdr:rowOff>
    </xdr:to>
    <xdr:pic>
      <xdr:nvPicPr>
        <xdr:cNvPr id="5" name="Picture 11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6181725" y="9934575"/>
          <a:ext cx="1285875" cy="219075"/>
        </a:xfrm>
        <a:prstGeom prst="rect">
          <a:avLst/>
        </a:prstGeom>
        <a:noFill/>
      </xdr:spPr>
    </xdr:pic>
    <xdr:clientData/>
  </xdr:twoCellAnchor>
  <xdr:twoCellAnchor>
    <xdr:from>
      <xdr:col>13</xdr:col>
      <xdr:colOff>47625</xdr:colOff>
      <xdr:row>52</xdr:row>
      <xdr:rowOff>19050</xdr:rowOff>
    </xdr:from>
    <xdr:to>
      <xdr:col>16</xdr:col>
      <xdr:colOff>381000</xdr:colOff>
      <xdr:row>53</xdr:row>
      <xdr:rowOff>123825</xdr:rowOff>
    </xdr:to>
    <xdr:pic>
      <xdr:nvPicPr>
        <xdr:cNvPr id="6" name="Picture 10"/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5534025" y="10210800"/>
          <a:ext cx="2971800" cy="304800"/>
        </a:xfrm>
        <a:prstGeom prst="rect">
          <a:avLst/>
        </a:prstGeom>
        <a:noFill/>
      </xdr:spPr>
    </xdr:pic>
    <xdr:clientData/>
  </xdr:twoCellAnchor>
  <xdr:twoCellAnchor>
    <xdr:from>
      <xdr:col>21</xdr:col>
      <xdr:colOff>495300</xdr:colOff>
      <xdr:row>2</xdr:row>
      <xdr:rowOff>95250</xdr:rowOff>
    </xdr:from>
    <xdr:to>
      <xdr:col>23</xdr:col>
      <xdr:colOff>161925</xdr:colOff>
      <xdr:row>4</xdr:row>
      <xdr:rowOff>76200</xdr:rowOff>
    </xdr:to>
    <xdr:pic>
      <xdr:nvPicPr>
        <xdr:cNvPr id="7" name="Picture 12"/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11696700" y="485775"/>
          <a:ext cx="885825" cy="371475"/>
        </a:xfrm>
        <a:prstGeom prst="rect">
          <a:avLst/>
        </a:prstGeom>
        <a:noFill/>
      </xdr:spPr>
    </xdr:pic>
    <xdr:clientData/>
  </xdr:twoCellAnchor>
  <xdr:twoCellAnchor>
    <xdr:from>
      <xdr:col>13</xdr:col>
      <xdr:colOff>47625</xdr:colOff>
      <xdr:row>3</xdr:row>
      <xdr:rowOff>142875</xdr:rowOff>
    </xdr:from>
    <xdr:to>
      <xdr:col>13</xdr:col>
      <xdr:colOff>590550</xdr:colOff>
      <xdr:row>5</xdr:row>
      <xdr:rowOff>104775</xdr:rowOff>
    </xdr:to>
    <xdr:pic>
      <xdr:nvPicPr>
        <xdr:cNvPr id="8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5534025" y="733425"/>
          <a:ext cx="542925" cy="342900"/>
        </a:xfrm>
        <a:prstGeom prst="rect">
          <a:avLst/>
        </a:prstGeom>
        <a:noFill/>
      </xdr:spPr>
    </xdr:pic>
    <xdr:clientData/>
  </xdr:twoCellAnchor>
  <xdr:twoCellAnchor>
    <xdr:from>
      <xdr:col>13</xdr:col>
      <xdr:colOff>638175</xdr:colOff>
      <xdr:row>22</xdr:row>
      <xdr:rowOff>9525</xdr:rowOff>
    </xdr:from>
    <xdr:to>
      <xdr:col>15</xdr:col>
      <xdr:colOff>523875</xdr:colOff>
      <xdr:row>24</xdr:row>
      <xdr:rowOff>9525</xdr:rowOff>
    </xdr:to>
    <xdr:pic>
      <xdr:nvPicPr>
        <xdr:cNvPr id="9" name="Picture 8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6124575" y="4248150"/>
          <a:ext cx="1914525" cy="390525"/>
        </a:xfrm>
        <a:prstGeom prst="rect">
          <a:avLst/>
        </a:prstGeom>
        <a:noFill/>
      </xdr:spPr>
    </xdr:pic>
    <xdr:clientData/>
  </xdr:twoCellAnchor>
  <xdr:twoCellAnchor>
    <xdr:from>
      <xdr:col>13</xdr:col>
      <xdr:colOff>381000</xdr:colOff>
      <xdr:row>34</xdr:row>
      <xdr:rowOff>171450</xdr:rowOff>
    </xdr:from>
    <xdr:to>
      <xdr:col>15</xdr:col>
      <xdr:colOff>9525</xdr:colOff>
      <xdr:row>38</xdr:row>
      <xdr:rowOff>123825</xdr:rowOff>
    </xdr:to>
    <xdr:pic>
      <xdr:nvPicPr>
        <xdr:cNvPr id="10" name="Picture 9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5867400" y="6715125"/>
          <a:ext cx="1657350" cy="723900"/>
        </a:xfrm>
        <a:prstGeom prst="rect">
          <a:avLst/>
        </a:prstGeom>
        <a:noFill/>
      </xdr:spPr>
    </xdr:pic>
    <xdr:clientData/>
  </xdr:twoCellAnchor>
  <xdr:twoCellAnchor>
    <xdr:from>
      <xdr:col>13</xdr:col>
      <xdr:colOff>695325</xdr:colOff>
      <xdr:row>50</xdr:row>
      <xdr:rowOff>142875</xdr:rowOff>
    </xdr:from>
    <xdr:to>
      <xdr:col>14</xdr:col>
      <xdr:colOff>723900</xdr:colOff>
      <xdr:row>51</xdr:row>
      <xdr:rowOff>161925</xdr:rowOff>
    </xdr:to>
    <xdr:pic>
      <xdr:nvPicPr>
        <xdr:cNvPr id="11" name="Picture 11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6181725" y="9934575"/>
          <a:ext cx="1285875" cy="219075"/>
        </a:xfrm>
        <a:prstGeom prst="rect">
          <a:avLst/>
        </a:prstGeom>
        <a:noFill/>
      </xdr:spPr>
    </xdr:pic>
    <xdr:clientData/>
  </xdr:twoCellAnchor>
  <xdr:twoCellAnchor>
    <xdr:from>
      <xdr:col>13</xdr:col>
      <xdr:colOff>47625</xdr:colOff>
      <xdr:row>52</xdr:row>
      <xdr:rowOff>19050</xdr:rowOff>
    </xdr:from>
    <xdr:to>
      <xdr:col>16</xdr:col>
      <xdr:colOff>381000</xdr:colOff>
      <xdr:row>53</xdr:row>
      <xdr:rowOff>123825</xdr:rowOff>
    </xdr:to>
    <xdr:pic>
      <xdr:nvPicPr>
        <xdr:cNvPr id="12" name="Picture 10"/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5534025" y="10210800"/>
          <a:ext cx="2971800" cy="304800"/>
        </a:xfrm>
        <a:prstGeom prst="rect">
          <a:avLst/>
        </a:prstGeom>
        <a:noFill/>
      </xdr:spPr>
    </xdr:pic>
    <xdr:clientData/>
  </xdr:twoCellAnchor>
  <xdr:twoCellAnchor>
    <xdr:from>
      <xdr:col>21</xdr:col>
      <xdr:colOff>495300</xdr:colOff>
      <xdr:row>2</xdr:row>
      <xdr:rowOff>95250</xdr:rowOff>
    </xdr:from>
    <xdr:to>
      <xdr:col>23</xdr:col>
      <xdr:colOff>161925</xdr:colOff>
      <xdr:row>4</xdr:row>
      <xdr:rowOff>76200</xdr:rowOff>
    </xdr:to>
    <xdr:pic>
      <xdr:nvPicPr>
        <xdr:cNvPr id="13" name="Picture 12"/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11696700" y="485775"/>
          <a:ext cx="885825" cy="371475"/>
        </a:xfrm>
        <a:prstGeom prst="rect">
          <a:avLst/>
        </a:prstGeom>
        <a:noFill/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304800</xdr:colOff>
          <xdr:row>1</xdr:row>
          <xdr:rowOff>57150</xdr:rowOff>
        </xdr:from>
        <xdr:to>
          <xdr:col>11</xdr:col>
          <xdr:colOff>200025</xdr:colOff>
          <xdr:row>3</xdr:row>
          <xdr:rowOff>161925</xdr:rowOff>
        </xdr:to>
        <xdr:sp macro="" textlink="">
          <xdr:nvSpPr>
            <xdr:cNvPr id="17409" name="Object 1" hidden="1">
              <a:extLst>
                <a:ext uri="{63B3BB69-23CF-44E3-9099-C40C66FF867C}">
                  <a14:compatExt spid="_x0000_s1740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304800</xdr:colOff>
          <xdr:row>1</xdr:row>
          <xdr:rowOff>57150</xdr:rowOff>
        </xdr:from>
        <xdr:to>
          <xdr:col>11</xdr:col>
          <xdr:colOff>200025</xdr:colOff>
          <xdr:row>4</xdr:row>
          <xdr:rowOff>38100</xdr:rowOff>
        </xdr:to>
        <xdr:sp macro="" textlink="">
          <xdr:nvSpPr>
            <xdr:cNvPr id="17410" name="Object 2" hidden="1">
              <a:extLst>
                <a:ext uri="{63B3BB69-23CF-44E3-9099-C40C66FF867C}">
                  <a14:compatExt spid="_x0000_s1741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1.bin"/><Relationship Id="rId7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6" Type="http://schemas.openxmlformats.org/officeDocument/2006/relationships/oleObject" Target="../embeddings/oleObject3.bin"/><Relationship Id="rId5" Type="http://schemas.openxmlformats.org/officeDocument/2006/relationships/oleObject" Target="../embeddings/oleObject2.bin"/><Relationship Id="rId4" Type="http://schemas.openxmlformats.org/officeDocument/2006/relationships/image" Target="../media/image1.emf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16.bin"/><Relationship Id="rId2" Type="http://schemas.openxmlformats.org/officeDocument/2006/relationships/vmlDrawing" Target="../drawings/vmlDrawing10.vml"/><Relationship Id="rId1" Type="http://schemas.openxmlformats.org/officeDocument/2006/relationships/drawing" Target="../drawings/drawing10.xml"/><Relationship Id="rId6" Type="http://schemas.openxmlformats.org/officeDocument/2006/relationships/comments" Target="../comments10.xml"/><Relationship Id="rId5" Type="http://schemas.openxmlformats.org/officeDocument/2006/relationships/oleObject" Target="../embeddings/oleObject17.bin"/><Relationship Id="rId4" Type="http://schemas.openxmlformats.org/officeDocument/2006/relationships/image" Target="../media/image1.emf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4.bin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2.xml"/><Relationship Id="rId6" Type="http://schemas.openxmlformats.org/officeDocument/2006/relationships/comments" Target="../comments2.xml"/><Relationship Id="rId5" Type="http://schemas.openxmlformats.org/officeDocument/2006/relationships/oleObject" Target="../embeddings/oleObject5.bin"/><Relationship Id="rId4" Type="http://schemas.openxmlformats.org/officeDocument/2006/relationships/image" Target="../media/image1.emf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6.bin"/><Relationship Id="rId2" Type="http://schemas.openxmlformats.org/officeDocument/2006/relationships/vmlDrawing" Target="../drawings/vmlDrawing3.vml"/><Relationship Id="rId1" Type="http://schemas.openxmlformats.org/officeDocument/2006/relationships/drawing" Target="../drawings/drawing3.xml"/><Relationship Id="rId6" Type="http://schemas.openxmlformats.org/officeDocument/2006/relationships/comments" Target="../comments3.xml"/><Relationship Id="rId5" Type="http://schemas.openxmlformats.org/officeDocument/2006/relationships/oleObject" Target="../embeddings/oleObject7.bin"/><Relationship Id="rId4" Type="http://schemas.openxmlformats.org/officeDocument/2006/relationships/image" Target="../media/image1.emf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8.bin"/><Relationship Id="rId2" Type="http://schemas.openxmlformats.org/officeDocument/2006/relationships/vmlDrawing" Target="../drawings/vmlDrawing4.vml"/><Relationship Id="rId1" Type="http://schemas.openxmlformats.org/officeDocument/2006/relationships/drawing" Target="../drawings/drawing4.xml"/><Relationship Id="rId5" Type="http://schemas.openxmlformats.org/officeDocument/2006/relationships/comments" Target="../comments4.xml"/><Relationship Id="rId4" Type="http://schemas.openxmlformats.org/officeDocument/2006/relationships/image" Target="../media/image1.emf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9.bin"/><Relationship Id="rId2" Type="http://schemas.openxmlformats.org/officeDocument/2006/relationships/vmlDrawing" Target="../drawings/vmlDrawing5.vml"/><Relationship Id="rId1" Type="http://schemas.openxmlformats.org/officeDocument/2006/relationships/drawing" Target="../drawings/drawing5.xml"/><Relationship Id="rId6" Type="http://schemas.openxmlformats.org/officeDocument/2006/relationships/comments" Target="../comments5.xml"/><Relationship Id="rId5" Type="http://schemas.openxmlformats.org/officeDocument/2006/relationships/oleObject" Target="../embeddings/oleObject10.bin"/><Relationship Id="rId4" Type="http://schemas.openxmlformats.org/officeDocument/2006/relationships/image" Target="../media/image1.emf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11.bin"/><Relationship Id="rId2" Type="http://schemas.openxmlformats.org/officeDocument/2006/relationships/vmlDrawing" Target="../drawings/vmlDrawing6.vml"/><Relationship Id="rId1" Type="http://schemas.openxmlformats.org/officeDocument/2006/relationships/drawing" Target="../drawings/drawing6.xml"/><Relationship Id="rId5" Type="http://schemas.openxmlformats.org/officeDocument/2006/relationships/comments" Target="../comments6.xml"/><Relationship Id="rId4" Type="http://schemas.openxmlformats.org/officeDocument/2006/relationships/image" Target="../media/image1.emf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12.bin"/><Relationship Id="rId2" Type="http://schemas.openxmlformats.org/officeDocument/2006/relationships/vmlDrawing" Target="../drawings/vmlDrawing7.vml"/><Relationship Id="rId1" Type="http://schemas.openxmlformats.org/officeDocument/2006/relationships/drawing" Target="../drawings/drawing7.xml"/><Relationship Id="rId5" Type="http://schemas.openxmlformats.org/officeDocument/2006/relationships/comments" Target="../comments7.xml"/><Relationship Id="rId4" Type="http://schemas.openxmlformats.org/officeDocument/2006/relationships/image" Target="../media/image1.emf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13.bin"/><Relationship Id="rId2" Type="http://schemas.openxmlformats.org/officeDocument/2006/relationships/vmlDrawing" Target="../drawings/vmlDrawing8.vml"/><Relationship Id="rId1" Type="http://schemas.openxmlformats.org/officeDocument/2006/relationships/drawing" Target="../drawings/drawing8.xml"/><Relationship Id="rId5" Type="http://schemas.openxmlformats.org/officeDocument/2006/relationships/comments" Target="../comments8.xml"/><Relationship Id="rId4" Type="http://schemas.openxmlformats.org/officeDocument/2006/relationships/image" Target="../media/image1.emf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14.bin"/><Relationship Id="rId2" Type="http://schemas.openxmlformats.org/officeDocument/2006/relationships/vmlDrawing" Target="../drawings/vmlDrawing9.vml"/><Relationship Id="rId1" Type="http://schemas.openxmlformats.org/officeDocument/2006/relationships/drawing" Target="../drawings/drawing9.xml"/><Relationship Id="rId6" Type="http://schemas.openxmlformats.org/officeDocument/2006/relationships/comments" Target="../comments9.xml"/><Relationship Id="rId5" Type="http://schemas.openxmlformats.org/officeDocument/2006/relationships/oleObject" Target="../embeddings/oleObject15.bin"/><Relationship Id="rId4" Type="http://schemas.openxmlformats.org/officeDocument/2006/relationships/image" Target="../media/image1.emf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C63"/>
  <sheetViews>
    <sheetView workbookViewId="0">
      <selection activeCell="G14" sqref="G14"/>
    </sheetView>
  </sheetViews>
  <sheetFormatPr defaultRowHeight="15" x14ac:dyDescent="0.25"/>
  <cols>
    <col min="1" max="1" width="9.140625" style="37" customWidth="1"/>
    <col min="2" max="9" width="9.140625" style="37"/>
    <col min="10" max="10" width="18.85546875" style="37" bestFit="1" customWidth="1"/>
    <col min="11" max="11" width="11.5703125" style="37" customWidth="1"/>
    <col min="12" max="12" width="9.140625" style="37"/>
    <col min="13" max="13" width="9.140625" style="37" customWidth="1"/>
    <col min="14" max="14" width="9.5703125" style="37" bestFit="1" customWidth="1"/>
    <col min="15" max="23" width="9.140625" style="37"/>
    <col min="24" max="24" width="75.28515625" style="37" bestFit="1" customWidth="1"/>
    <col min="25" max="25" width="9.140625" style="37"/>
    <col min="26" max="26" width="11.42578125" style="37" customWidth="1"/>
    <col min="27" max="27" width="0.140625" style="37" customWidth="1"/>
    <col min="28" max="28" width="8.85546875" style="37" hidden="1" customWidth="1"/>
    <col min="29" max="29" width="9.140625" style="37" hidden="1" customWidth="1"/>
    <col min="30" max="16384" width="9.140625" style="37"/>
  </cols>
  <sheetData>
    <row r="1" spans="1:26" ht="15.75" x14ac:dyDescent="0.25">
      <c r="A1" s="85" t="s">
        <v>2</v>
      </c>
      <c r="B1" s="86"/>
      <c r="C1" s="86"/>
      <c r="D1" s="5"/>
      <c r="E1" s="87" t="s">
        <v>3</v>
      </c>
      <c r="F1" s="87"/>
      <c r="G1" s="87"/>
      <c r="H1" s="88"/>
      <c r="J1" s="87" t="s">
        <v>8</v>
      </c>
      <c r="K1" s="87"/>
      <c r="L1" s="87"/>
      <c r="M1" s="87"/>
      <c r="N1" s="87"/>
      <c r="O1" s="87"/>
      <c r="R1" s="89" t="s">
        <v>41</v>
      </c>
      <c r="S1" s="89"/>
      <c r="T1" s="89"/>
      <c r="U1" s="89"/>
      <c r="X1" s="36" t="s">
        <v>61</v>
      </c>
      <c r="Y1" s="36"/>
      <c r="Z1" s="36"/>
    </row>
    <row r="2" spans="1:26" x14ac:dyDescent="0.25">
      <c r="A2" s="83" t="s">
        <v>92</v>
      </c>
      <c r="B2" s="84"/>
    </row>
    <row r="3" spans="1:26" ht="15.75" x14ac:dyDescent="0.25">
      <c r="A3" s="1" t="s">
        <v>0</v>
      </c>
      <c r="B3" s="2" t="s">
        <v>1</v>
      </c>
      <c r="J3" s="87" t="s">
        <v>9</v>
      </c>
      <c r="K3" s="87"/>
      <c r="L3" s="87"/>
      <c r="M3" s="87"/>
      <c r="N3" s="87"/>
      <c r="X3" s="38" t="s">
        <v>62</v>
      </c>
    </row>
    <row r="4" spans="1:26" x14ac:dyDescent="0.25">
      <c r="A4" s="1">
        <v>0</v>
      </c>
      <c r="B4" s="34">
        <v>75</v>
      </c>
    </row>
    <row r="5" spans="1:26" x14ac:dyDescent="0.25">
      <c r="A5" s="1">
        <v>1</v>
      </c>
      <c r="B5" s="3">
        <f>B4*1.05</f>
        <v>78.75</v>
      </c>
      <c r="X5" s="37" t="s">
        <v>49</v>
      </c>
      <c r="Y5" s="37" t="s">
        <v>55</v>
      </c>
      <c r="Z5" s="37" t="s">
        <v>17</v>
      </c>
    </row>
    <row r="6" spans="1:26" x14ac:dyDescent="0.25">
      <c r="A6" s="1">
        <v>2</v>
      </c>
      <c r="B6" s="3">
        <f t="shared" ref="B6:B24" si="0">B5*1.05</f>
        <v>82.6875</v>
      </c>
      <c r="E6" s="37" t="s">
        <v>4</v>
      </c>
      <c r="F6" s="37" t="s">
        <v>5</v>
      </c>
      <c r="G6" s="37" t="s">
        <v>6</v>
      </c>
      <c r="H6" s="37" t="s">
        <v>7</v>
      </c>
    </row>
    <row r="7" spans="1:26" x14ac:dyDescent="0.25">
      <c r="A7" s="1">
        <v>3</v>
      </c>
      <c r="B7" s="3">
        <f t="shared" si="0"/>
        <v>86.821875000000006</v>
      </c>
      <c r="E7" s="37">
        <v>1.2</v>
      </c>
      <c r="F7" s="37">
        <v>200</v>
      </c>
      <c r="G7" s="23">
        <f>B24</f>
        <v>198.99732788583168</v>
      </c>
      <c r="H7" s="22">
        <f>(E7*F7*G7)/86400</f>
        <v>0.55277035523842133</v>
      </c>
      <c r="R7" s="90" t="s">
        <v>42</v>
      </c>
      <c r="S7" s="90"/>
      <c r="T7" s="90"/>
      <c r="X7" s="37" t="s">
        <v>20</v>
      </c>
      <c r="Y7" s="37" t="s">
        <v>56</v>
      </c>
      <c r="Z7" s="37">
        <v>3</v>
      </c>
    </row>
    <row r="8" spans="1:26" x14ac:dyDescent="0.25">
      <c r="A8" s="1">
        <v>4</v>
      </c>
      <c r="B8" s="3">
        <f t="shared" si="0"/>
        <v>91.162968750000005</v>
      </c>
      <c r="H8" s="37">
        <f>H7*1.75</f>
        <v>0.96734812166723727</v>
      </c>
      <c r="J8" s="90" t="s">
        <v>10</v>
      </c>
      <c r="K8" s="90"/>
      <c r="L8" s="90"/>
      <c r="N8" s="6">
        <f>N9/N10</f>
        <v>3.0567685589519649E-2</v>
      </c>
      <c r="O8" s="37" t="s">
        <v>13</v>
      </c>
      <c r="R8" s="90" t="s">
        <v>43</v>
      </c>
      <c r="S8" s="90"/>
      <c r="T8" s="90"/>
      <c r="U8" s="90"/>
      <c r="V8" s="37">
        <f xml:space="preserve"> 1000</f>
        <v>1000</v>
      </c>
      <c r="X8" s="37" t="s">
        <v>21</v>
      </c>
      <c r="Y8" s="37" t="s">
        <v>56</v>
      </c>
      <c r="Z8" s="37">
        <v>1</v>
      </c>
    </row>
    <row r="9" spans="1:26" x14ac:dyDescent="0.25">
      <c r="A9" s="1">
        <v>5</v>
      </c>
      <c r="B9" s="3">
        <f t="shared" si="0"/>
        <v>95.721117187500013</v>
      </c>
      <c r="J9" s="90" t="s">
        <v>11</v>
      </c>
      <c r="K9" s="90"/>
      <c r="L9" s="90"/>
      <c r="M9" s="90"/>
      <c r="N9" s="21">
        <v>49</v>
      </c>
      <c r="O9" s="37" t="s">
        <v>14</v>
      </c>
      <c r="R9" s="90" t="s">
        <v>44</v>
      </c>
      <c r="S9" s="90"/>
      <c r="X9" s="37" t="s">
        <v>91</v>
      </c>
      <c r="Y9" s="37" t="s">
        <v>56</v>
      </c>
      <c r="Z9" s="37">
        <v>5</v>
      </c>
    </row>
    <row r="10" spans="1:26" x14ac:dyDescent="0.25">
      <c r="A10" s="1">
        <v>6</v>
      </c>
      <c r="B10" s="3">
        <f t="shared" si="0"/>
        <v>100.50717304687502</v>
      </c>
      <c r="J10" s="90" t="s">
        <v>12</v>
      </c>
      <c r="K10" s="90"/>
      <c r="L10" s="90"/>
      <c r="N10" s="21">
        <v>1603</v>
      </c>
      <c r="O10" s="37" t="s">
        <v>14</v>
      </c>
      <c r="R10" s="90" t="s">
        <v>45</v>
      </c>
      <c r="S10" s="90"/>
      <c r="T10" s="90"/>
      <c r="X10" s="37" t="s">
        <v>90</v>
      </c>
      <c r="Y10" s="37" t="s">
        <v>56</v>
      </c>
      <c r="Z10" s="37">
        <v>4</v>
      </c>
    </row>
    <row r="11" spans="1:26" x14ac:dyDescent="0.25">
      <c r="A11" s="1">
        <v>7</v>
      </c>
      <c r="B11" s="3">
        <f t="shared" si="0"/>
        <v>105.53253169921878</v>
      </c>
      <c r="R11" s="91" t="s">
        <v>48</v>
      </c>
      <c r="S11" s="91"/>
      <c r="T11" s="91"/>
      <c r="V11" s="16">
        <v>0.7</v>
      </c>
      <c r="X11" s="37" t="s">
        <v>80</v>
      </c>
      <c r="Y11" s="37" t="s">
        <v>14</v>
      </c>
      <c r="Z11" s="37">
        <v>5212</v>
      </c>
    </row>
    <row r="12" spans="1:26" x14ac:dyDescent="0.25">
      <c r="A12" s="1">
        <v>8</v>
      </c>
      <c r="B12" s="3">
        <f t="shared" si="0"/>
        <v>110.80915828417972</v>
      </c>
      <c r="D12" s="37">
        <f>15*5</f>
        <v>75</v>
      </c>
      <c r="R12" s="37" t="s">
        <v>46</v>
      </c>
      <c r="S12" s="37">
        <f>V8*N27*(N9+M21)/(75*0.7)</f>
        <v>1.1460772031943269</v>
      </c>
      <c r="T12" s="37" t="s">
        <v>47</v>
      </c>
      <c r="X12" s="24" t="s">
        <v>87</v>
      </c>
      <c r="Y12" s="37" t="s">
        <v>14</v>
      </c>
      <c r="Z12" s="37">
        <v>109</v>
      </c>
    </row>
    <row r="13" spans="1:26" ht="15.75" x14ac:dyDescent="0.25">
      <c r="A13" s="1">
        <v>9</v>
      </c>
      <c r="B13" s="3">
        <f t="shared" si="0"/>
        <v>116.3496161983887</v>
      </c>
      <c r="J13" s="87" t="s">
        <v>15</v>
      </c>
      <c r="K13" s="87"/>
      <c r="L13" s="87"/>
      <c r="M13" s="87"/>
      <c r="N13" s="87"/>
      <c r="O13" s="87"/>
      <c r="P13" s="87"/>
      <c r="Q13" s="10"/>
      <c r="X13" s="24" t="s">
        <v>88</v>
      </c>
      <c r="Y13" s="37" t="s">
        <v>14</v>
      </c>
      <c r="Z13" s="37">
        <v>473</v>
      </c>
    </row>
    <row r="14" spans="1:26" x14ac:dyDescent="0.25">
      <c r="A14" s="1">
        <v>10</v>
      </c>
      <c r="B14" s="3">
        <f t="shared" si="0"/>
        <v>122.16709700830815</v>
      </c>
      <c r="X14" s="25" t="s">
        <v>89</v>
      </c>
      <c r="Y14" s="37" t="s">
        <v>56</v>
      </c>
      <c r="Z14" s="27">
        <v>1</v>
      </c>
    </row>
    <row r="15" spans="1:26" ht="14.25" customHeight="1" x14ac:dyDescent="0.25">
      <c r="A15" s="1">
        <v>11</v>
      </c>
      <c r="B15" s="3">
        <f t="shared" si="0"/>
        <v>128.27545185872356</v>
      </c>
      <c r="J15" s="7" t="s">
        <v>16</v>
      </c>
      <c r="K15" s="7" t="s">
        <v>17</v>
      </c>
      <c r="L15" s="7" t="s">
        <v>18</v>
      </c>
      <c r="M15" s="8" t="s">
        <v>19</v>
      </c>
      <c r="X15" s="26" t="s">
        <v>84</v>
      </c>
      <c r="Y15" s="37" t="s">
        <v>56</v>
      </c>
      <c r="Z15" s="27">
        <v>16</v>
      </c>
    </row>
    <row r="16" spans="1:26" x14ac:dyDescent="0.25">
      <c r="A16" s="1">
        <v>12</v>
      </c>
      <c r="B16" s="3">
        <f t="shared" si="0"/>
        <v>134.68922445165975</v>
      </c>
      <c r="J16" s="7" t="s">
        <v>20</v>
      </c>
      <c r="K16" s="19">
        <v>1</v>
      </c>
      <c r="L16" s="19">
        <v>0.4</v>
      </c>
      <c r="M16" s="19">
        <f>L16*K16</f>
        <v>0.4</v>
      </c>
      <c r="X16" s="26" t="s">
        <v>82</v>
      </c>
      <c r="Y16" s="37" t="s">
        <v>56</v>
      </c>
      <c r="Z16" s="37">
        <v>15</v>
      </c>
    </row>
    <row r="17" spans="1:26" x14ac:dyDescent="0.25">
      <c r="A17" s="1">
        <v>13</v>
      </c>
      <c r="B17" s="3">
        <f t="shared" si="0"/>
        <v>141.42368567424276</v>
      </c>
      <c r="J17" s="7" t="s">
        <v>21</v>
      </c>
      <c r="K17" s="19">
        <v>1</v>
      </c>
      <c r="L17" s="19">
        <v>6.4</v>
      </c>
      <c r="M17" s="19">
        <f t="shared" ref="M17:M19" si="1">L17*K17</f>
        <v>6.4</v>
      </c>
      <c r="X17" s="26" t="s">
        <v>85</v>
      </c>
      <c r="Y17" s="37" t="s">
        <v>56</v>
      </c>
      <c r="Z17" s="27">
        <v>14</v>
      </c>
    </row>
    <row r="18" spans="1:26" x14ac:dyDescent="0.25">
      <c r="A18" s="1">
        <v>14</v>
      </c>
      <c r="B18" s="3">
        <f t="shared" si="0"/>
        <v>148.4948699579549</v>
      </c>
      <c r="J18" s="7" t="s">
        <v>22</v>
      </c>
      <c r="K18" s="19">
        <v>4</v>
      </c>
      <c r="L18" s="19">
        <v>1.1000000000000001</v>
      </c>
      <c r="M18" s="19">
        <f t="shared" si="1"/>
        <v>4.4000000000000004</v>
      </c>
      <c r="X18" s="26" t="s">
        <v>93</v>
      </c>
      <c r="Y18" s="37" t="s">
        <v>56</v>
      </c>
      <c r="Z18" s="27">
        <v>1</v>
      </c>
    </row>
    <row r="19" spans="1:26" x14ac:dyDescent="0.25">
      <c r="A19" s="1">
        <v>15</v>
      </c>
      <c r="B19" s="3">
        <f t="shared" si="0"/>
        <v>155.91961345585267</v>
      </c>
      <c r="J19" s="7" t="s">
        <v>23</v>
      </c>
      <c r="K19" s="19">
        <v>5</v>
      </c>
      <c r="L19" s="19">
        <v>0.4</v>
      </c>
      <c r="M19" s="19">
        <f t="shared" si="1"/>
        <v>2</v>
      </c>
      <c r="X19" s="25" t="s">
        <v>86</v>
      </c>
      <c r="Y19" s="37" t="s">
        <v>56</v>
      </c>
      <c r="Z19" s="27">
        <v>1</v>
      </c>
    </row>
    <row r="20" spans="1:26" x14ac:dyDescent="0.25">
      <c r="A20" s="1">
        <v>16</v>
      </c>
      <c r="B20" s="3">
        <f t="shared" si="0"/>
        <v>163.71559412864531</v>
      </c>
      <c r="J20" s="18"/>
      <c r="K20" s="20"/>
      <c r="L20" s="19"/>
      <c r="M20" s="19"/>
      <c r="X20" s="28" t="s">
        <v>73</v>
      </c>
      <c r="Y20" s="37" t="s">
        <v>56</v>
      </c>
      <c r="Z20" s="29">
        <v>1</v>
      </c>
    </row>
    <row r="21" spans="1:26" x14ac:dyDescent="0.25">
      <c r="A21" s="1">
        <v>17</v>
      </c>
      <c r="B21" s="3">
        <f t="shared" si="0"/>
        <v>171.90137383507758</v>
      </c>
      <c r="L21" s="9" t="s">
        <v>24</v>
      </c>
      <c r="M21" s="37">
        <f>SUM(M16:M20)</f>
        <v>13.200000000000001</v>
      </c>
      <c r="X21" s="37" t="s">
        <v>76</v>
      </c>
      <c r="Y21" s="37" t="s">
        <v>56</v>
      </c>
      <c r="Z21" s="29">
        <v>2</v>
      </c>
    </row>
    <row r="22" spans="1:26" x14ac:dyDescent="0.25">
      <c r="A22" s="1">
        <v>18</v>
      </c>
      <c r="B22" s="3">
        <f t="shared" si="0"/>
        <v>180.49644252683146</v>
      </c>
      <c r="X22" s="37" t="s">
        <v>83</v>
      </c>
      <c r="Y22" s="37" t="s">
        <v>56</v>
      </c>
      <c r="Z22" s="29">
        <v>3</v>
      </c>
    </row>
    <row r="23" spans="1:26" ht="15.75" x14ac:dyDescent="0.25">
      <c r="A23" s="1">
        <v>19</v>
      </c>
      <c r="B23" s="3">
        <f t="shared" si="0"/>
        <v>189.52126465317303</v>
      </c>
      <c r="X23" s="38" t="s">
        <v>81</v>
      </c>
      <c r="Y23" s="38"/>
      <c r="Z23" s="38"/>
    </row>
    <row r="24" spans="1:26" x14ac:dyDescent="0.25">
      <c r="A24" s="4">
        <v>20</v>
      </c>
      <c r="B24" s="17">
        <f t="shared" si="0"/>
        <v>198.99732788583168</v>
      </c>
      <c r="X24" s="37" t="s">
        <v>49</v>
      </c>
      <c r="Y24" s="37" t="s">
        <v>55</v>
      </c>
      <c r="Z24" s="37" t="s">
        <v>17</v>
      </c>
    </row>
    <row r="26" spans="1:26" x14ac:dyDescent="0.25">
      <c r="X26" s="37" t="s">
        <v>50</v>
      </c>
      <c r="Y26" s="37" t="s">
        <v>57</v>
      </c>
      <c r="Z26" s="37">
        <v>45</v>
      </c>
    </row>
    <row r="27" spans="1:26" x14ac:dyDescent="0.25">
      <c r="J27" s="37" t="s">
        <v>27</v>
      </c>
      <c r="N27" s="22">
        <f>H8/1000</f>
        <v>9.673481216672373E-4</v>
      </c>
      <c r="X27" s="37" t="s">
        <v>51</v>
      </c>
      <c r="Y27" s="37" t="s">
        <v>58</v>
      </c>
      <c r="Z27" s="37">
        <v>4</v>
      </c>
    </row>
    <row r="28" spans="1:26" x14ac:dyDescent="0.25">
      <c r="J28" s="92" t="s">
        <v>25</v>
      </c>
      <c r="K28" s="92"/>
      <c r="L28" s="92"/>
      <c r="N28" s="22">
        <v>140</v>
      </c>
      <c r="X28" s="37" t="s">
        <v>71</v>
      </c>
      <c r="Y28" s="37" t="s">
        <v>59</v>
      </c>
      <c r="Z28" s="37">
        <v>200</v>
      </c>
    </row>
    <row r="29" spans="1:26" x14ac:dyDescent="0.25">
      <c r="J29" s="37" t="s">
        <v>26</v>
      </c>
      <c r="N29" s="37">
        <v>0.05</v>
      </c>
      <c r="X29" s="37" t="s">
        <v>52</v>
      </c>
      <c r="Y29" s="37" t="s">
        <v>60</v>
      </c>
      <c r="Z29" s="37">
        <v>250</v>
      </c>
    </row>
    <row r="30" spans="1:26" x14ac:dyDescent="0.25">
      <c r="J30" s="90" t="s">
        <v>28</v>
      </c>
      <c r="K30" s="90"/>
      <c r="N30" s="37">
        <f>M21</f>
        <v>13.200000000000001</v>
      </c>
      <c r="X30" s="37" t="s">
        <v>53</v>
      </c>
      <c r="Y30" s="37" t="s">
        <v>59</v>
      </c>
      <c r="Z30" s="37">
        <v>10</v>
      </c>
    </row>
    <row r="31" spans="1:26" x14ac:dyDescent="0.25">
      <c r="J31" s="90" t="s">
        <v>29</v>
      </c>
      <c r="K31" s="90"/>
      <c r="N31" s="37">
        <f>10.643*((N27/N28)^1.852)*(N30/(N29^4.87))</f>
        <v>8.4396470044476271E-2</v>
      </c>
      <c r="X31" s="37" t="s">
        <v>54</v>
      </c>
      <c r="Y31" s="37" t="s">
        <v>58</v>
      </c>
      <c r="Z31" s="37">
        <v>65</v>
      </c>
    </row>
    <row r="33" spans="10:29" ht="15.75" x14ac:dyDescent="0.25">
      <c r="X33" s="36" t="s">
        <v>63</v>
      </c>
      <c r="Y33" s="35"/>
      <c r="Z33" s="35"/>
      <c r="AC33" s="37">
        <f>0.8*0.6</f>
        <v>0.48</v>
      </c>
    </row>
    <row r="34" spans="10:29" ht="15.75" x14ac:dyDescent="0.25">
      <c r="J34" s="87" t="s">
        <v>30</v>
      </c>
      <c r="K34" s="87"/>
      <c r="L34" s="87"/>
      <c r="Y34" s="37" t="s">
        <v>55</v>
      </c>
      <c r="Z34" s="37" t="s">
        <v>17</v>
      </c>
    </row>
    <row r="35" spans="10:29" x14ac:dyDescent="0.25">
      <c r="X35" s="31" t="s">
        <v>64</v>
      </c>
      <c r="Y35" s="37" t="s">
        <v>14</v>
      </c>
      <c r="Z35" s="37">
        <f>Z11</f>
        <v>5212</v>
      </c>
      <c r="AA35" s="37">
        <f>SUM(Z35:Z37)</f>
        <v>5794</v>
      </c>
    </row>
    <row r="36" spans="10:29" x14ac:dyDescent="0.25">
      <c r="X36" s="32" t="s">
        <v>79</v>
      </c>
      <c r="Y36" s="37" t="s">
        <v>14</v>
      </c>
      <c r="Z36" s="37">
        <f>Z12</f>
        <v>109</v>
      </c>
      <c r="AB36" s="37">
        <f>0.75*AA35</f>
        <v>4345.5</v>
      </c>
    </row>
    <row r="37" spans="10:29" x14ac:dyDescent="0.25">
      <c r="X37" s="32" t="s">
        <v>65</v>
      </c>
      <c r="Y37" s="37" t="s">
        <v>14</v>
      </c>
      <c r="Z37" s="37">
        <f>Z13</f>
        <v>473</v>
      </c>
      <c r="AB37" s="37">
        <f>0.2*AA35</f>
        <v>1158.8</v>
      </c>
    </row>
    <row r="38" spans="10:29" x14ac:dyDescent="0.25">
      <c r="X38" s="33" t="s">
        <v>74</v>
      </c>
      <c r="Y38" s="33" t="s">
        <v>58</v>
      </c>
      <c r="Z38" s="37">
        <f>AB36*AC33</f>
        <v>2085.84</v>
      </c>
      <c r="AB38" s="37">
        <f>0.05*AA35</f>
        <v>289.7</v>
      </c>
    </row>
    <row r="39" spans="10:29" x14ac:dyDescent="0.25">
      <c r="X39" s="37" t="s">
        <v>70</v>
      </c>
      <c r="Y39" s="33" t="s">
        <v>58</v>
      </c>
      <c r="Z39" s="37">
        <f>AB37*AC33</f>
        <v>556.22399999999993</v>
      </c>
    </row>
    <row r="40" spans="10:29" x14ac:dyDescent="0.25">
      <c r="X40" s="37" t="s">
        <v>75</v>
      </c>
      <c r="Y40" s="33" t="s">
        <v>58</v>
      </c>
      <c r="Z40" s="37">
        <f>AB38*AC33</f>
        <v>139.05599999999998</v>
      </c>
    </row>
    <row r="41" spans="10:29" ht="30" x14ac:dyDescent="0.25">
      <c r="X41" s="30" t="s">
        <v>72</v>
      </c>
      <c r="Y41" s="37" t="s">
        <v>56</v>
      </c>
      <c r="Z41" s="37">
        <v>1</v>
      </c>
    </row>
    <row r="42" spans="10:29" x14ac:dyDescent="0.25">
      <c r="K42" s="37" t="s">
        <v>31</v>
      </c>
      <c r="L42" s="37">
        <f>((10.643*((N27/N28)^1.852))/N8)^(1/4.87)</f>
        <v>3.6261000023104104E-2</v>
      </c>
      <c r="M42" s="37" t="s">
        <v>14</v>
      </c>
      <c r="X42" s="37" t="s">
        <v>66</v>
      </c>
      <c r="Y42" s="37" t="s">
        <v>69</v>
      </c>
      <c r="Z42" s="37">
        <v>250</v>
      </c>
    </row>
    <row r="43" spans="10:29" x14ac:dyDescent="0.25">
      <c r="X43" s="37" t="s">
        <v>67</v>
      </c>
      <c r="Y43" s="37" t="s">
        <v>69</v>
      </c>
      <c r="Z43" s="37">
        <v>80</v>
      </c>
    </row>
    <row r="44" spans="10:29" x14ac:dyDescent="0.25">
      <c r="X44" s="37" t="s">
        <v>68</v>
      </c>
      <c r="Y44" s="37" t="s">
        <v>69</v>
      </c>
      <c r="Z44" s="37">
        <v>350</v>
      </c>
    </row>
    <row r="45" spans="10:29" x14ac:dyDescent="0.25">
      <c r="J45" s="94" t="s">
        <v>32</v>
      </c>
      <c r="K45" s="94"/>
      <c r="L45" s="94"/>
      <c r="M45" s="94"/>
      <c r="N45" s="94"/>
    </row>
    <row r="46" spans="10:29" x14ac:dyDescent="0.25">
      <c r="J46" s="94"/>
      <c r="K46" s="94"/>
      <c r="L46" s="94"/>
      <c r="M46" s="94"/>
      <c r="N46" s="94"/>
    </row>
    <row r="47" spans="10:29" x14ac:dyDescent="0.25">
      <c r="J47" s="94"/>
      <c r="K47" s="94"/>
      <c r="L47" s="94"/>
      <c r="M47" s="94"/>
      <c r="N47" s="94"/>
    </row>
    <row r="50" spans="10:14" x14ac:dyDescent="0.25">
      <c r="J50" s="95" t="s">
        <v>33</v>
      </c>
      <c r="K50" s="95"/>
      <c r="L50" s="95"/>
      <c r="M50" s="95"/>
      <c r="N50" s="95"/>
    </row>
    <row r="51" spans="10:14" ht="15.75" x14ac:dyDescent="0.25">
      <c r="J51" s="11"/>
    </row>
    <row r="52" spans="10:14" ht="15.75" x14ac:dyDescent="0.25">
      <c r="J52" s="11"/>
    </row>
    <row r="53" spans="10:14" ht="15.75" x14ac:dyDescent="0.25">
      <c r="J53" s="11"/>
    </row>
    <row r="54" spans="10:14" ht="18" x14ac:dyDescent="0.25">
      <c r="J54" s="12" t="s">
        <v>34</v>
      </c>
    </row>
    <row r="55" spans="10:14" ht="15.75" x14ac:dyDescent="0.25">
      <c r="J55" s="11"/>
    </row>
    <row r="56" spans="10:14" x14ac:dyDescent="0.25">
      <c r="J56" s="13" t="s">
        <v>35</v>
      </c>
    </row>
    <row r="57" spans="10:14" x14ac:dyDescent="0.25">
      <c r="J57" s="13" t="s">
        <v>36</v>
      </c>
    </row>
    <row r="58" spans="10:14" ht="15" customHeight="1" x14ac:dyDescent="0.25">
      <c r="J58" s="96" t="s">
        <v>37</v>
      </c>
      <c r="K58" s="96"/>
      <c r="L58" s="96"/>
      <c r="M58" s="96"/>
      <c r="N58" s="96"/>
    </row>
    <row r="59" spans="10:14" ht="15" customHeight="1" x14ac:dyDescent="0.25">
      <c r="J59" s="93" t="s">
        <v>38</v>
      </c>
      <c r="K59" s="93"/>
      <c r="L59" s="93"/>
      <c r="M59" s="93"/>
      <c r="N59" s="93"/>
    </row>
    <row r="60" spans="10:14" x14ac:dyDescent="0.25">
      <c r="J60" s="14"/>
      <c r="K60" s="14"/>
      <c r="L60" s="14"/>
      <c r="M60" s="14"/>
      <c r="N60" s="14"/>
    </row>
    <row r="61" spans="10:14" x14ac:dyDescent="0.25">
      <c r="K61" s="15" t="s">
        <v>39</v>
      </c>
      <c r="L61" s="15">
        <v>0.5</v>
      </c>
      <c r="M61" s="15"/>
      <c r="N61" s="15"/>
    </row>
    <row r="62" spans="10:14" x14ac:dyDescent="0.25">
      <c r="K62" s="37" t="s">
        <v>40</v>
      </c>
      <c r="L62" s="37">
        <v>1.2</v>
      </c>
    </row>
    <row r="63" spans="10:14" x14ac:dyDescent="0.25">
      <c r="K63" s="37" t="s">
        <v>31</v>
      </c>
      <c r="L63" s="37">
        <f>L61^(1/4)*L62*(N27^0.5)</f>
        <v>3.1384494896405789E-2</v>
      </c>
    </row>
  </sheetData>
  <mergeCells count="23">
    <mergeCell ref="J59:N59"/>
    <mergeCell ref="J30:K30"/>
    <mergeCell ref="J31:K31"/>
    <mergeCell ref="J34:L34"/>
    <mergeCell ref="J45:N47"/>
    <mergeCell ref="J50:N50"/>
    <mergeCell ref="J58:N58"/>
    <mergeCell ref="J3:N3"/>
    <mergeCell ref="R7:T7"/>
    <mergeCell ref="J8:L8"/>
    <mergeCell ref="R8:U8"/>
    <mergeCell ref="J9:M9"/>
    <mergeCell ref="R9:S9"/>
    <mergeCell ref="J10:L10"/>
    <mergeCell ref="R10:T10"/>
    <mergeCell ref="R11:T11"/>
    <mergeCell ref="J13:P13"/>
    <mergeCell ref="J28:L28"/>
    <mergeCell ref="A2:B2"/>
    <mergeCell ref="A1:C1"/>
    <mergeCell ref="E1:H1"/>
    <mergeCell ref="J1:O1"/>
    <mergeCell ref="R1:U1"/>
  </mergeCells>
  <pageMargins left="0.511811024" right="0.511811024" top="0.78740157499999996" bottom="0.78740157499999996" header="0.31496062000000002" footer="0.31496062000000002"/>
  <drawing r:id="rId1"/>
  <legacyDrawing r:id="rId2"/>
  <oleObjects>
    <mc:AlternateContent xmlns:mc="http://schemas.openxmlformats.org/markup-compatibility/2006">
      <mc:Choice Requires="x14">
        <oleObject progId="Equation.3" shapeId="4097" r:id="rId3">
          <objectPr defaultSize="0" autoPict="0" r:id="rId4">
            <anchor moveWithCells="1">
              <from>
                <xdr:col>4</xdr:col>
                <xdr:colOff>304800</xdr:colOff>
                <xdr:row>1</xdr:row>
                <xdr:rowOff>57150</xdr:rowOff>
              </from>
              <to>
                <xdr:col>7</xdr:col>
                <xdr:colOff>200025</xdr:colOff>
                <xdr:row>3</xdr:row>
                <xdr:rowOff>152400</xdr:rowOff>
              </to>
            </anchor>
          </objectPr>
        </oleObject>
      </mc:Choice>
      <mc:Fallback>
        <oleObject progId="Equation.3" shapeId="4097" r:id="rId3"/>
      </mc:Fallback>
    </mc:AlternateContent>
    <mc:AlternateContent xmlns:mc="http://schemas.openxmlformats.org/markup-compatibility/2006">
      <mc:Choice Requires="x14">
        <oleObject progId="Equation.3" shapeId="4102" r:id="rId5">
          <objectPr defaultSize="0" autoPict="0" r:id="rId4">
            <anchor moveWithCells="1">
              <from>
                <xdr:col>4</xdr:col>
                <xdr:colOff>304800</xdr:colOff>
                <xdr:row>1</xdr:row>
                <xdr:rowOff>57150</xdr:rowOff>
              </from>
              <to>
                <xdr:col>7</xdr:col>
                <xdr:colOff>200025</xdr:colOff>
                <xdr:row>4</xdr:row>
                <xdr:rowOff>28575</xdr:rowOff>
              </to>
            </anchor>
          </objectPr>
        </oleObject>
      </mc:Choice>
      <mc:Fallback>
        <oleObject progId="Equation.3" shapeId="4102" r:id="rId5"/>
      </mc:Fallback>
    </mc:AlternateContent>
    <mc:AlternateContent xmlns:mc="http://schemas.openxmlformats.org/markup-compatibility/2006">
      <mc:Choice Requires="x14">
        <oleObject progId="Equation.3" shapeId="4107" r:id="rId6">
          <objectPr defaultSize="0" autoPict="0" r:id="rId4">
            <anchor moveWithCells="1">
              <from>
                <xdr:col>4</xdr:col>
                <xdr:colOff>304800</xdr:colOff>
                <xdr:row>1</xdr:row>
                <xdr:rowOff>57150</xdr:rowOff>
              </from>
              <to>
                <xdr:col>7</xdr:col>
                <xdr:colOff>200025</xdr:colOff>
                <xdr:row>4</xdr:row>
                <xdr:rowOff>47625</xdr:rowOff>
              </to>
            </anchor>
          </objectPr>
        </oleObject>
      </mc:Choice>
      <mc:Fallback>
        <oleObject progId="Equation.3" shapeId="4107" r:id="rId6"/>
      </mc:Fallback>
    </mc:AlternateContent>
  </oleObjects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C63"/>
  <sheetViews>
    <sheetView tabSelected="1" topLeftCell="R31" workbookViewId="0">
      <selection activeCell="X38" sqref="X38:Z45"/>
    </sheetView>
  </sheetViews>
  <sheetFormatPr defaultRowHeight="15" x14ac:dyDescent="0.25"/>
  <cols>
    <col min="1" max="1" width="9.140625" style="46" customWidth="1"/>
    <col min="2" max="9" width="9.140625" style="46"/>
    <col min="10" max="10" width="18.85546875" style="46" bestFit="1" customWidth="1"/>
    <col min="11" max="11" width="11.5703125" style="46" customWidth="1"/>
    <col min="12" max="12" width="9.140625" style="46"/>
    <col min="13" max="13" width="9.140625" style="46" customWidth="1"/>
    <col min="14" max="14" width="9.5703125" style="46" bestFit="1" customWidth="1"/>
    <col min="15" max="23" width="9.140625" style="46"/>
    <col min="24" max="24" width="75.28515625" style="46" bestFit="1" customWidth="1"/>
    <col min="25" max="25" width="9.140625" style="46"/>
    <col min="26" max="26" width="11.28515625" style="46" customWidth="1"/>
    <col min="27" max="27" width="8.85546875" style="46" hidden="1" customWidth="1"/>
    <col min="28" max="29" width="9.140625" style="46" hidden="1" customWidth="1"/>
    <col min="30" max="16384" width="9.140625" style="46"/>
  </cols>
  <sheetData>
    <row r="1" spans="1:26" ht="15.75" x14ac:dyDescent="0.25">
      <c r="A1" s="85" t="s">
        <v>2</v>
      </c>
      <c r="B1" s="86"/>
      <c r="C1" s="86"/>
      <c r="D1" s="5"/>
      <c r="E1" s="87" t="s">
        <v>3</v>
      </c>
      <c r="F1" s="87"/>
      <c r="G1" s="87"/>
      <c r="H1" s="88"/>
      <c r="J1" s="87" t="s">
        <v>8</v>
      </c>
      <c r="K1" s="87"/>
      <c r="L1" s="87"/>
      <c r="M1" s="87"/>
      <c r="N1" s="87"/>
      <c r="O1" s="87"/>
      <c r="R1" s="89" t="s">
        <v>41</v>
      </c>
      <c r="S1" s="89"/>
      <c r="T1" s="89"/>
      <c r="U1" s="89"/>
      <c r="X1" s="87" t="s">
        <v>61</v>
      </c>
      <c r="Y1" s="87"/>
      <c r="Z1" s="87"/>
    </row>
    <row r="2" spans="1:26" x14ac:dyDescent="0.25">
      <c r="A2" s="83" t="s">
        <v>118</v>
      </c>
      <c r="B2" s="84"/>
    </row>
    <row r="3" spans="1:26" ht="15.75" x14ac:dyDescent="0.25">
      <c r="A3" s="1" t="s">
        <v>0</v>
      </c>
      <c r="B3" s="2" t="s">
        <v>1</v>
      </c>
      <c r="J3" s="87" t="s">
        <v>9</v>
      </c>
      <c r="K3" s="87"/>
      <c r="L3" s="87"/>
      <c r="M3" s="87"/>
      <c r="N3" s="87"/>
      <c r="X3" s="49" t="s">
        <v>62</v>
      </c>
    </row>
    <row r="4" spans="1:26" x14ac:dyDescent="0.25">
      <c r="A4" s="1">
        <v>0</v>
      </c>
      <c r="B4" s="34">
        <v>625</v>
      </c>
    </row>
    <row r="5" spans="1:26" x14ac:dyDescent="0.25">
      <c r="A5" s="1">
        <v>1</v>
      </c>
      <c r="B5" s="3">
        <f>B4*1.05</f>
        <v>656.25</v>
      </c>
      <c r="X5" s="46" t="s">
        <v>49</v>
      </c>
      <c r="Y5" s="46" t="s">
        <v>55</v>
      </c>
      <c r="Z5" s="46" t="s">
        <v>17</v>
      </c>
    </row>
    <row r="6" spans="1:26" x14ac:dyDescent="0.25">
      <c r="A6" s="1">
        <v>2</v>
      </c>
      <c r="B6" s="3">
        <f t="shared" ref="B6:B24" si="0">B5*1.05</f>
        <v>689.0625</v>
      </c>
      <c r="E6" s="46" t="s">
        <v>4</v>
      </c>
      <c r="F6" s="46" t="s">
        <v>5</v>
      </c>
      <c r="G6" s="46" t="s">
        <v>6</v>
      </c>
      <c r="H6" s="46" t="s">
        <v>7</v>
      </c>
    </row>
    <row r="7" spans="1:26" x14ac:dyDescent="0.25">
      <c r="A7" s="1">
        <v>3</v>
      </c>
      <c r="B7" s="3">
        <f t="shared" si="0"/>
        <v>723.515625</v>
      </c>
      <c r="E7" s="46">
        <v>1.2</v>
      </c>
      <c r="F7" s="46">
        <v>200</v>
      </c>
      <c r="G7" s="23">
        <f>B24</f>
        <v>1658.3110657152636</v>
      </c>
      <c r="H7" s="51">
        <f>(E7*F7*G7)/86400</f>
        <v>4.6064196269868427</v>
      </c>
      <c r="R7" s="90" t="s">
        <v>42</v>
      </c>
      <c r="S7" s="90"/>
      <c r="T7" s="90"/>
      <c r="X7" s="76" t="s">
        <v>121</v>
      </c>
      <c r="Y7" s="46" t="s">
        <v>56</v>
      </c>
      <c r="Z7" s="46">
        <v>9</v>
      </c>
    </row>
    <row r="8" spans="1:26" x14ac:dyDescent="0.25">
      <c r="A8" s="1">
        <v>4</v>
      </c>
      <c r="B8" s="3">
        <f t="shared" si="0"/>
        <v>759.69140625</v>
      </c>
      <c r="H8" s="46">
        <f>H7*1.75</f>
        <v>8.061234347226975</v>
      </c>
      <c r="J8" s="90" t="s">
        <v>10</v>
      </c>
      <c r="K8" s="90"/>
      <c r="L8" s="90"/>
      <c r="N8" s="6">
        <f>N9/N10</f>
        <v>3.9661319073083776E-2</v>
      </c>
      <c r="O8" s="46" t="s">
        <v>13</v>
      </c>
      <c r="R8" s="90" t="s">
        <v>43</v>
      </c>
      <c r="S8" s="90"/>
      <c r="T8" s="90"/>
      <c r="U8" s="90"/>
      <c r="V8" s="46">
        <f xml:space="preserve"> 1000</f>
        <v>1000</v>
      </c>
      <c r="X8" s="76" t="s">
        <v>122</v>
      </c>
      <c r="Y8" s="46" t="s">
        <v>56</v>
      </c>
      <c r="Z8" s="46">
        <v>1</v>
      </c>
    </row>
    <row r="9" spans="1:26" x14ac:dyDescent="0.25">
      <c r="A9" s="1">
        <v>5</v>
      </c>
      <c r="B9" s="3">
        <f t="shared" si="0"/>
        <v>797.67597656250007</v>
      </c>
      <c r="J9" s="90" t="s">
        <v>11</v>
      </c>
      <c r="K9" s="90"/>
      <c r="L9" s="90"/>
      <c r="M9" s="90"/>
      <c r="N9" s="21">
        <v>89</v>
      </c>
      <c r="O9" s="46" t="s">
        <v>14</v>
      </c>
      <c r="R9" s="90" t="s">
        <v>44</v>
      </c>
      <c r="S9" s="90"/>
      <c r="X9" s="46" t="s">
        <v>91</v>
      </c>
      <c r="Y9" s="46" t="s">
        <v>56</v>
      </c>
      <c r="Z9" s="46">
        <v>26</v>
      </c>
    </row>
    <row r="10" spans="1:26" x14ac:dyDescent="0.25">
      <c r="A10" s="1">
        <v>6</v>
      </c>
      <c r="B10" s="3">
        <f t="shared" si="0"/>
        <v>837.55977539062508</v>
      </c>
      <c r="J10" s="90" t="s">
        <v>12</v>
      </c>
      <c r="K10" s="90"/>
      <c r="L10" s="90"/>
      <c r="N10" s="21">
        <v>2244</v>
      </c>
      <c r="O10" s="46" t="s">
        <v>14</v>
      </c>
      <c r="R10" s="90" t="s">
        <v>45</v>
      </c>
      <c r="S10" s="90"/>
      <c r="T10" s="90"/>
      <c r="X10" s="46" t="s">
        <v>90</v>
      </c>
      <c r="Y10" s="46" t="s">
        <v>56</v>
      </c>
      <c r="Z10" s="46">
        <v>48</v>
      </c>
    </row>
    <row r="11" spans="1:26" x14ac:dyDescent="0.25">
      <c r="A11" s="1">
        <v>7</v>
      </c>
      <c r="B11" s="3">
        <f t="shared" si="0"/>
        <v>879.43776416015635</v>
      </c>
      <c r="R11" s="91" t="s">
        <v>48</v>
      </c>
      <c r="S11" s="91"/>
      <c r="T11" s="91"/>
      <c r="V11" s="16">
        <v>0.7</v>
      </c>
      <c r="X11" s="46" t="s">
        <v>103</v>
      </c>
      <c r="Y11" s="46" t="s">
        <v>14</v>
      </c>
      <c r="Z11" s="46">
        <v>2244</v>
      </c>
    </row>
    <row r="12" spans="1:26" x14ac:dyDescent="0.25">
      <c r="A12" s="1">
        <v>8</v>
      </c>
      <c r="B12" s="3">
        <f t="shared" si="0"/>
        <v>923.40965236816419</v>
      </c>
      <c r="D12" s="46">
        <f>125*5</f>
        <v>625</v>
      </c>
      <c r="R12" s="46" t="s">
        <v>46</v>
      </c>
      <c r="S12" s="46">
        <f>V8*N27*(N9+M21)/(75*0.7)</f>
        <v>15.692536195935178</v>
      </c>
      <c r="T12" s="46" t="s">
        <v>47</v>
      </c>
      <c r="X12" s="46" t="s">
        <v>80</v>
      </c>
      <c r="Y12" s="46" t="s">
        <v>14</v>
      </c>
      <c r="Z12" s="46">
        <v>15072</v>
      </c>
    </row>
    <row r="13" spans="1:26" ht="15.75" x14ac:dyDescent="0.25">
      <c r="A13" s="1">
        <v>9</v>
      </c>
      <c r="B13" s="3">
        <f t="shared" si="0"/>
        <v>969.58013498657249</v>
      </c>
      <c r="J13" s="87" t="s">
        <v>15</v>
      </c>
      <c r="K13" s="87"/>
      <c r="L13" s="87"/>
      <c r="M13" s="87"/>
      <c r="N13" s="87"/>
      <c r="O13" s="87"/>
      <c r="P13" s="87"/>
      <c r="Q13" s="10"/>
      <c r="X13" s="24" t="s">
        <v>87</v>
      </c>
      <c r="Y13" s="46" t="s">
        <v>14</v>
      </c>
      <c r="Z13" s="46">
        <v>1783</v>
      </c>
    </row>
    <row r="14" spans="1:26" x14ac:dyDescent="0.25">
      <c r="A14" s="1">
        <v>10</v>
      </c>
      <c r="B14" s="3">
        <f t="shared" si="0"/>
        <v>1018.0591417359011</v>
      </c>
      <c r="X14" s="24" t="s">
        <v>88</v>
      </c>
      <c r="Y14" s="46" t="s">
        <v>14</v>
      </c>
      <c r="Z14" s="27">
        <v>2015</v>
      </c>
    </row>
    <row r="15" spans="1:26" ht="15.75" customHeight="1" x14ac:dyDescent="0.25">
      <c r="A15" s="1">
        <v>11</v>
      </c>
      <c r="B15" s="3">
        <f t="shared" si="0"/>
        <v>1068.9620988226961</v>
      </c>
      <c r="J15" s="7" t="s">
        <v>16</v>
      </c>
      <c r="K15" s="7" t="s">
        <v>17</v>
      </c>
      <c r="L15" s="7" t="s">
        <v>18</v>
      </c>
      <c r="M15" s="8" t="s">
        <v>19</v>
      </c>
      <c r="X15" s="25" t="s">
        <v>104</v>
      </c>
      <c r="Y15" s="46" t="s">
        <v>56</v>
      </c>
      <c r="Z15" s="27">
        <v>2</v>
      </c>
    </row>
    <row r="16" spans="1:26" x14ac:dyDescent="0.25">
      <c r="A16" s="1">
        <v>12</v>
      </c>
      <c r="B16" s="3">
        <f t="shared" si="0"/>
        <v>1122.4102037638311</v>
      </c>
      <c r="J16" s="7" t="s">
        <v>20</v>
      </c>
      <c r="K16" s="19">
        <v>1</v>
      </c>
      <c r="L16" s="19">
        <v>0.4</v>
      </c>
      <c r="M16" s="19">
        <f>L16*K16</f>
        <v>0.4</v>
      </c>
      <c r="X16" s="26" t="s">
        <v>84</v>
      </c>
      <c r="Y16" s="46" t="s">
        <v>56</v>
      </c>
      <c r="Z16" s="27">
        <v>45</v>
      </c>
    </row>
    <row r="17" spans="1:26" x14ac:dyDescent="0.25">
      <c r="A17" s="1">
        <v>13</v>
      </c>
      <c r="B17" s="3">
        <f t="shared" si="0"/>
        <v>1178.5307139520228</v>
      </c>
      <c r="J17" s="7" t="s">
        <v>21</v>
      </c>
      <c r="K17" s="19">
        <v>1</v>
      </c>
      <c r="L17" s="19">
        <v>6.4</v>
      </c>
      <c r="M17" s="19">
        <f t="shared" ref="M17:M19" si="1">L17*K17</f>
        <v>6.4</v>
      </c>
      <c r="X17" s="26" t="s">
        <v>82</v>
      </c>
      <c r="Y17" s="46" t="s">
        <v>56</v>
      </c>
      <c r="Z17" s="27">
        <v>127</v>
      </c>
    </row>
    <row r="18" spans="1:26" x14ac:dyDescent="0.25">
      <c r="A18" s="1">
        <v>14</v>
      </c>
      <c r="B18" s="3">
        <f t="shared" si="0"/>
        <v>1237.4572496496239</v>
      </c>
      <c r="J18" s="7" t="s">
        <v>22</v>
      </c>
      <c r="K18" s="19">
        <v>4</v>
      </c>
      <c r="L18" s="19">
        <v>1.1000000000000001</v>
      </c>
      <c r="M18" s="19">
        <f t="shared" si="1"/>
        <v>4.4000000000000004</v>
      </c>
      <c r="X18" s="26" t="s">
        <v>85</v>
      </c>
      <c r="Y18" s="46" t="s">
        <v>56</v>
      </c>
      <c r="Z18" s="27">
        <v>108</v>
      </c>
    </row>
    <row r="19" spans="1:26" x14ac:dyDescent="0.25">
      <c r="A19" s="1">
        <v>15</v>
      </c>
      <c r="B19" s="3">
        <f t="shared" si="0"/>
        <v>1299.3301121321051</v>
      </c>
      <c r="J19" s="7" t="s">
        <v>23</v>
      </c>
      <c r="K19" s="19">
        <v>5</v>
      </c>
      <c r="L19" s="19">
        <v>0.4</v>
      </c>
      <c r="M19" s="19">
        <f t="shared" si="1"/>
        <v>2</v>
      </c>
      <c r="X19" s="26" t="s">
        <v>93</v>
      </c>
      <c r="Y19" s="46" t="s">
        <v>56</v>
      </c>
      <c r="Z19" s="27">
        <v>17</v>
      </c>
    </row>
    <row r="20" spans="1:26" x14ac:dyDescent="0.25">
      <c r="A20" s="1">
        <v>16</v>
      </c>
      <c r="B20" s="3">
        <f t="shared" si="0"/>
        <v>1364.2966177387104</v>
      </c>
      <c r="J20" s="18"/>
      <c r="K20" s="20"/>
      <c r="L20" s="19"/>
      <c r="M20" s="19"/>
      <c r="X20" s="25" t="s">
        <v>86</v>
      </c>
      <c r="Y20" s="46" t="s">
        <v>56</v>
      </c>
      <c r="Z20" s="27">
        <v>17</v>
      </c>
    </row>
    <row r="21" spans="1:26" x14ac:dyDescent="0.25">
      <c r="A21" s="1">
        <v>17</v>
      </c>
      <c r="B21" s="3">
        <f t="shared" si="0"/>
        <v>1432.5114486256459</v>
      </c>
      <c r="L21" s="9" t="s">
        <v>24</v>
      </c>
      <c r="M21" s="46">
        <f>SUM(M16:M20)</f>
        <v>13.200000000000001</v>
      </c>
      <c r="X21" s="28" t="s">
        <v>116</v>
      </c>
      <c r="Y21" s="46" t="s">
        <v>56</v>
      </c>
      <c r="Z21" s="39">
        <v>1</v>
      </c>
    </row>
    <row r="22" spans="1:26" x14ac:dyDescent="0.25">
      <c r="A22" s="1">
        <v>18</v>
      </c>
      <c r="B22" s="3">
        <f t="shared" si="0"/>
        <v>1504.1370210569282</v>
      </c>
      <c r="X22" s="46" t="s">
        <v>76</v>
      </c>
      <c r="Y22" s="46" t="s">
        <v>56</v>
      </c>
      <c r="Z22" s="29">
        <v>7</v>
      </c>
    </row>
    <row r="23" spans="1:26" x14ac:dyDescent="0.25">
      <c r="A23" s="1">
        <v>19</v>
      </c>
      <c r="B23" s="3">
        <f t="shared" si="0"/>
        <v>1579.3438721097748</v>
      </c>
      <c r="X23" s="46" t="s">
        <v>83</v>
      </c>
      <c r="Y23" s="46" t="s">
        <v>56</v>
      </c>
      <c r="Z23" s="29">
        <v>4</v>
      </c>
    </row>
    <row r="24" spans="1:26" x14ac:dyDescent="0.25">
      <c r="A24" s="4">
        <v>20</v>
      </c>
      <c r="B24" s="17">
        <f t="shared" si="0"/>
        <v>1658.3110657152636</v>
      </c>
    </row>
    <row r="25" spans="1:26" ht="15.75" x14ac:dyDescent="0.25">
      <c r="X25" s="75" t="s">
        <v>113</v>
      </c>
      <c r="Y25" s="49"/>
      <c r="Z25" s="49"/>
    </row>
    <row r="26" spans="1:26" x14ac:dyDescent="0.25">
      <c r="X26" s="46" t="s">
        <v>49</v>
      </c>
      <c r="Y26" s="46" t="s">
        <v>55</v>
      </c>
      <c r="Z26" s="46" t="s">
        <v>17</v>
      </c>
    </row>
    <row r="27" spans="1:26" x14ac:dyDescent="0.25">
      <c r="J27" s="46" t="s">
        <v>27</v>
      </c>
      <c r="N27" s="51">
        <f>H8/1000</f>
        <v>8.0612343472269751E-3</v>
      </c>
    </row>
    <row r="28" spans="1:26" x14ac:dyDescent="0.25">
      <c r="J28" s="92" t="s">
        <v>25</v>
      </c>
      <c r="K28" s="92"/>
      <c r="L28" s="92"/>
      <c r="N28" s="51">
        <v>140</v>
      </c>
      <c r="X28" s="46" t="s">
        <v>50</v>
      </c>
      <c r="Y28" s="46" t="s">
        <v>57</v>
      </c>
      <c r="Z28" s="46">
        <v>180</v>
      </c>
    </row>
    <row r="29" spans="1:26" x14ac:dyDescent="0.25">
      <c r="J29" s="46" t="s">
        <v>26</v>
      </c>
      <c r="N29" s="46">
        <v>0.05</v>
      </c>
      <c r="X29" s="46" t="s">
        <v>51</v>
      </c>
      <c r="Y29" s="46" t="s">
        <v>58</v>
      </c>
      <c r="Z29" s="46">
        <v>16</v>
      </c>
    </row>
    <row r="30" spans="1:26" x14ac:dyDescent="0.25">
      <c r="J30" s="90" t="s">
        <v>28</v>
      </c>
      <c r="K30" s="90"/>
      <c r="N30" s="46">
        <f>M21</f>
        <v>13.200000000000001</v>
      </c>
      <c r="X30" s="46" t="s">
        <v>77</v>
      </c>
      <c r="Y30" s="46" t="s">
        <v>59</v>
      </c>
      <c r="Z30" s="46">
        <v>760</v>
      </c>
    </row>
    <row r="31" spans="1:26" x14ac:dyDescent="0.25">
      <c r="J31" s="90" t="s">
        <v>29</v>
      </c>
      <c r="K31" s="90"/>
      <c r="N31" s="46">
        <f>10.643*((N27/N28)^1.852)*(N30/(N29^4.87))</f>
        <v>4.2823347648694163</v>
      </c>
      <c r="X31" s="46" t="s">
        <v>71</v>
      </c>
      <c r="Y31" s="46" t="s">
        <v>60</v>
      </c>
      <c r="Z31" s="46">
        <v>900</v>
      </c>
    </row>
    <row r="32" spans="1:26" x14ac:dyDescent="0.25">
      <c r="X32" s="46" t="s">
        <v>52</v>
      </c>
      <c r="Y32" s="46" t="s">
        <v>60</v>
      </c>
      <c r="Z32" s="46">
        <v>900</v>
      </c>
    </row>
    <row r="33" spans="10:29" ht="15" customHeight="1" x14ac:dyDescent="0.25">
      <c r="X33" s="46" t="s">
        <v>53</v>
      </c>
      <c r="Y33" s="46" t="s">
        <v>59</v>
      </c>
      <c r="Z33" s="46">
        <v>20</v>
      </c>
    </row>
    <row r="34" spans="10:29" ht="15.75" x14ac:dyDescent="0.25">
      <c r="J34" s="87" t="s">
        <v>30</v>
      </c>
      <c r="K34" s="87"/>
      <c r="L34" s="87"/>
      <c r="X34" s="46" t="s">
        <v>54</v>
      </c>
      <c r="Y34" s="46" t="s">
        <v>58</v>
      </c>
      <c r="Z34" s="46">
        <v>280</v>
      </c>
    </row>
    <row r="36" spans="10:29" ht="15.75" x14ac:dyDescent="0.25">
      <c r="X36" s="47" t="s">
        <v>63</v>
      </c>
      <c r="Y36" s="35"/>
      <c r="Z36" s="35"/>
      <c r="AC36" s="46">
        <v>0.48</v>
      </c>
    </row>
    <row r="37" spans="10:29" x14ac:dyDescent="0.25">
      <c r="Y37" s="46" t="s">
        <v>55</v>
      </c>
      <c r="Z37" s="46" t="s">
        <v>17</v>
      </c>
      <c r="AA37" s="46">
        <f>SUM(Z38:Z41)</f>
        <v>21114</v>
      </c>
    </row>
    <row r="38" spans="10:29" x14ac:dyDescent="0.25">
      <c r="X38" s="82" t="s">
        <v>120</v>
      </c>
      <c r="Y38" s="76" t="s">
        <v>14</v>
      </c>
      <c r="Z38" s="46">
        <f>Z11</f>
        <v>2244</v>
      </c>
      <c r="AB38" s="46">
        <f>0.75*AA37</f>
        <v>15835.5</v>
      </c>
    </row>
    <row r="39" spans="10:29" x14ac:dyDescent="0.25">
      <c r="X39" s="31" t="s">
        <v>64</v>
      </c>
      <c r="Y39" s="46" t="s">
        <v>14</v>
      </c>
      <c r="Z39" s="46">
        <f>Z12</f>
        <v>15072</v>
      </c>
      <c r="AB39" s="46">
        <f>0.2*AA37</f>
        <v>4222.8</v>
      </c>
    </row>
    <row r="40" spans="10:29" x14ac:dyDescent="0.25">
      <c r="X40" s="32" t="s">
        <v>79</v>
      </c>
      <c r="Y40" s="46" t="s">
        <v>14</v>
      </c>
      <c r="Z40" s="46">
        <f>Z13</f>
        <v>1783</v>
      </c>
      <c r="AB40" s="46">
        <f>0.05*AA37</f>
        <v>1055.7</v>
      </c>
    </row>
    <row r="41" spans="10:29" x14ac:dyDescent="0.25">
      <c r="X41" s="32" t="s">
        <v>65</v>
      </c>
      <c r="Y41" s="46" t="s">
        <v>14</v>
      </c>
      <c r="Z41" s="46">
        <f>Z14</f>
        <v>2015</v>
      </c>
    </row>
    <row r="42" spans="10:29" x14ac:dyDescent="0.25">
      <c r="K42" s="46" t="s">
        <v>31</v>
      </c>
      <c r="L42" s="46">
        <f>((10.643*((N27/N28)^1.852))/N8)^(1/4.87)</f>
        <v>7.6982294660465592E-2</v>
      </c>
      <c r="M42" s="46" t="s">
        <v>14</v>
      </c>
      <c r="X42" s="33" t="s">
        <v>74</v>
      </c>
      <c r="Y42" s="33" t="s">
        <v>58</v>
      </c>
      <c r="Z42" s="46">
        <f>AB38*AC36</f>
        <v>7601.04</v>
      </c>
    </row>
    <row r="43" spans="10:29" x14ac:dyDescent="0.25">
      <c r="X43" s="46" t="s">
        <v>70</v>
      </c>
      <c r="Y43" s="33" t="s">
        <v>58</v>
      </c>
      <c r="Z43" s="46">
        <f>AB39*AC36</f>
        <v>2026.944</v>
      </c>
    </row>
    <row r="44" spans="10:29" x14ac:dyDescent="0.25">
      <c r="X44" s="46" t="s">
        <v>75</v>
      </c>
      <c r="Y44" s="33" t="s">
        <v>58</v>
      </c>
      <c r="Z44" s="46">
        <f>AB40*AC36</f>
        <v>506.73599999999999</v>
      </c>
    </row>
    <row r="45" spans="10:29" ht="15" customHeight="1" x14ac:dyDescent="0.25">
      <c r="J45" s="94" t="s">
        <v>32</v>
      </c>
      <c r="K45" s="94"/>
      <c r="L45" s="94"/>
      <c r="M45" s="94"/>
      <c r="N45" s="94"/>
      <c r="X45" s="30" t="s">
        <v>72</v>
      </c>
      <c r="Y45" s="46" t="s">
        <v>56</v>
      </c>
      <c r="Z45" s="46">
        <v>1</v>
      </c>
    </row>
    <row r="46" spans="10:29" ht="15" customHeight="1" x14ac:dyDescent="0.25">
      <c r="J46" s="94"/>
      <c r="K46" s="94"/>
      <c r="L46" s="94"/>
      <c r="M46" s="94"/>
      <c r="N46" s="94"/>
      <c r="X46" s="46" t="s">
        <v>66</v>
      </c>
      <c r="Y46" s="46" t="s">
        <v>69</v>
      </c>
      <c r="Z46" s="46">
        <v>600</v>
      </c>
    </row>
    <row r="47" spans="10:29" ht="15" customHeight="1" x14ac:dyDescent="0.25">
      <c r="J47" s="94"/>
      <c r="K47" s="94"/>
      <c r="L47" s="94"/>
      <c r="M47" s="94"/>
      <c r="N47" s="94"/>
      <c r="X47" s="46" t="s">
        <v>67</v>
      </c>
      <c r="Y47" s="46" t="s">
        <v>69</v>
      </c>
      <c r="Z47" s="46">
        <v>180</v>
      </c>
    </row>
    <row r="48" spans="10:29" x14ac:dyDescent="0.25">
      <c r="X48" s="46" t="s">
        <v>68</v>
      </c>
      <c r="Y48" s="46" t="s">
        <v>69</v>
      </c>
      <c r="Z48" s="46">
        <v>800</v>
      </c>
    </row>
    <row r="50" spans="10:14" x14ac:dyDescent="0.25">
      <c r="J50" s="95" t="s">
        <v>33</v>
      </c>
      <c r="K50" s="95"/>
      <c r="L50" s="95"/>
      <c r="M50" s="95"/>
      <c r="N50" s="95"/>
    </row>
    <row r="51" spans="10:14" ht="15.75" x14ac:dyDescent="0.25">
      <c r="J51" s="11"/>
    </row>
    <row r="52" spans="10:14" ht="15.75" x14ac:dyDescent="0.25">
      <c r="J52" s="11"/>
    </row>
    <row r="53" spans="10:14" ht="15.75" x14ac:dyDescent="0.25">
      <c r="J53" s="11"/>
    </row>
    <row r="54" spans="10:14" ht="18" x14ac:dyDescent="0.25">
      <c r="J54" s="12" t="s">
        <v>34</v>
      </c>
    </row>
    <row r="55" spans="10:14" ht="15.75" x14ac:dyDescent="0.25">
      <c r="J55" s="11"/>
    </row>
    <row r="56" spans="10:14" x14ac:dyDescent="0.25">
      <c r="J56" s="13" t="s">
        <v>35</v>
      </c>
    </row>
    <row r="57" spans="10:14" x14ac:dyDescent="0.25">
      <c r="J57" s="13" t="s">
        <v>36</v>
      </c>
    </row>
    <row r="58" spans="10:14" x14ac:dyDescent="0.25">
      <c r="J58" s="96" t="s">
        <v>37</v>
      </c>
      <c r="K58" s="96"/>
      <c r="L58" s="96"/>
      <c r="M58" s="96"/>
      <c r="N58" s="96"/>
    </row>
    <row r="59" spans="10:14" x14ac:dyDescent="0.25">
      <c r="J59" s="93" t="s">
        <v>38</v>
      </c>
      <c r="K59" s="93"/>
      <c r="L59" s="93"/>
      <c r="M59" s="93"/>
      <c r="N59" s="93"/>
    </row>
    <row r="60" spans="10:14" x14ac:dyDescent="0.25">
      <c r="J60" s="14"/>
      <c r="K60" s="14"/>
      <c r="L60" s="14"/>
      <c r="M60" s="14"/>
      <c r="N60" s="14"/>
    </row>
    <row r="61" spans="10:14" x14ac:dyDescent="0.25">
      <c r="K61" s="15" t="s">
        <v>39</v>
      </c>
      <c r="L61" s="15">
        <v>0.5</v>
      </c>
      <c r="M61" s="15"/>
      <c r="N61" s="15"/>
    </row>
    <row r="62" spans="10:14" x14ac:dyDescent="0.25">
      <c r="K62" s="46" t="s">
        <v>40</v>
      </c>
      <c r="L62" s="46">
        <v>1.2</v>
      </c>
    </row>
    <row r="63" spans="10:14" x14ac:dyDescent="0.25">
      <c r="K63" s="46" t="s">
        <v>31</v>
      </c>
      <c r="L63" s="46">
        <f>L61^(1/4)*L62*(N27^0.5)</f>
        <v>9.0599232884101571E-2</v>
      </c>
    </row>
  </sheetData>
  <mergeCells count="24">
    <mergeCell ref="J9:M9"/>
    <mergeCell ref="R9:S9"/>
    <mergeCell ref="J59:N59"/>
    <mergeCell ref="J10:L10"/>
    <mergeCell ref="R10:T10"/>
    <mergeCell ref="R11:T11"/>
    <mergeCell ref="J13:P13"/>
    <mergeCell ref="J28:L28"/>
    <mergeCell ref="J30:K30"/>
    <mergeCell ref="J31:K31"/>
    <mergeCell ref="J34:L34"/>
    <mergeCell ref="J45:N47"/>
    <mergeCell ref="J50:N50"/>
    <mergeCell ref="J58:N58"/>
    <mergeCell ref="X1:Z1"/>
    <mergeCell ref="J3:N3"/>
    <mergeCell ref="R7:T7"/>
    <mergeCell ref="J8:L8"/>
    <mergeCell ref="R8:U8"/>
    <mergeCell ref="A2:B2"/>
    <mergeCell ref="A1:C1"/>
    <mergeCell ref="E1:H1"/>
    <mergeCell ref="J1:O1"/>
    <mergeCell ref="R1:U1"/>
  </mergeCells>
  <pageMargins left="0.511811024" right="0.511811024" top="0.78740157499999996" bottom="0.78740157499999996" header="0.31496062000000002" footer="0.31496062000000002"/>
  <drawing r:id="rId1"/>
  <legacyDrawing r:id="rId2"/>
  <oleObjects>
    <mc:AlternateContent xmlns:mc="http://schemas.openxmlformats.org/markup-compatibility/2006">
      <mc:Choice Requires="x14">
        <oleObject progId="Equation.3" shapeId="18433" r:id="rId3">
          <objectPr defaultSize="0" autoPict="0" r:id="rId4">
            <anchor moveWithCells="1">
              <from>
                <xdr:col>4</xdr:col>
                <xdr:colOff>304800</xdr:colOff>
                <xdr:row>1</xdr:row>
                <xdr:rowOff>57150</xdr:rowOff>
              </from>
              <to>
                <xdr:col>7</xdr:col>
                <xdr:colOff>200025</xdr:colOff>
                <xdr:row>3</xdr:row>
                <xdr:rowOff>171450</xdr:rowOff>
              </to>
            </anchor>
          </objectPr>
        </oleObject>
      </mc:Choice>
      <mc:Fallback>
        <oleObject progId="Equation.3" shapeId="18433" r:id="rId3"/>
      </mc:Fallback>
    </mc:AlternateContent>
    <mc:AlternateContent xmlns:mc="http://schemas.openxmlformats.org/markup-compatibility/2006">
      <mc:Choice Requires="x14">
        <oleObject progId="Equation.3" shapeId="18434" r:id="rId5">
          <objectPr defaultSize="0" autoPict="0" r:id="rId4">
            <anchor moveWithCells="1">
              <from>
                <xdr:col>4</xdr:col>
                <xdr:colOff>304800</xdr:colOff>
                <xdr:row>1</xdr:row>
                <xdr:rowOff>57150</xdr:rowOff>
              </from>
              <to>
                <xdr:col>7</xdr:col>
                <xdr:colOff>200025</xdr:colOff>
                <xdr:row>4</xdr:row>
                <xdr:rowOff>47625</xdr:rowOff>
              </to>
            </anchor>
          </objectPr>
        </oleObject>
      </mc:Choice>
      <mc:Fallback>
        <oleObject progId="Equation.3" shapeId="18434" r:id="rId5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C63"/>
  <sheetViews>
    <sheetView topLeftCell="N1" workbookViewId="0">
      <selection activeCell="R23" sqref="A1:XFD1048576"/>
    </sheetView>
  </sheetViews>
  <sheetFormatPr defaultRowHeight="15" x14ac:dyDescent="0.25"/>
  <cols>
    <col min="1" max="1" width="9.140625" style="37" customWidth="1"/>
    <col min="2" max="9" width="9.140625" style="37"/>
    <col min="10" max="10" width="18.85546875" style="37" bestFit="1" customWidth="1"/>
    <col min="11" max="11" width="11.5703125" style="37" customWidth="1"/>
    <col min="12" max="12" width="9.140625" style="37"/>
    <col min="13" max="13" width="9.140625" style="37" customWidth="1"/>
    <col min="14" max="14" width="9.5703125" style="37" bestFit="1" customWidth="1"/>
    <col min="15" max="23" width="9.140625" style="37"/>
    <col min="24" max="24" width="75.28515625" style="37" bestFit="1" customWidth="1"/>
    <col min="25" max="25" width="9.140625" style="37"/>
    <col min="26" max="26" width="11.28515625" style="37" customWidth="1"/>
    <col min="27" max="28" width="9" style="37" hidden="1" customWidth="1"/>
    <col min="29" max="29" width="9.140625" style="37" hidden="1" customWidth="1"/>
    <col min="30" max="16384" width="9.140625" style="37"/>
  </cols>
  <sheetData>
    <row r="1" spans="1:26" ht="15.75" x14ac:dyDescent="0.25">
      <c r="A1" s="85" t="s">
        <v>2</v>
      </c>
      <c r="B1" s="86"/>
      <c r="C1" s="86"/>
      <c r="D1" s="5"/>
      <c r="E1" s="87" t="s">
        <v>3</v>
      </c>
      <c r="F1" s="87"/>
      <c r="G1" s="87"/>
      <c r="H1" s="88"/>
      <c r="J1" s="87" t="s">
        <v>8</v>
      </c>
      <c r="K1" s="87"/>
      <c r="L1" s="87"/>
      <c r="M1" s="87"/>
      <c r="N1" s="87"/>
      <c r="O1" s="87"/>
      <c r="R1" s="89" t="s">
        <v>41</v>
      </c>
      <c r="S1" s="89"/>
      <c r="T1" s="89"/>
      <c r="U1" s="89"/>
      <c r="X1" s="87" t="s">
        <v>61</v>
      </c>
      <c r="Y1" s="87"/>
      <c r="Z1" s="87"/>
    </row>
    <row r="2" spans="1:26" x14ac:dyDescent="0.25">
      <c r="A2" s="83" t="s">
        <v>94</v>
      </c>
      <c r="B2" s="84"/>
    </row>
    <row r="3" spans="1:26" ht="15.75" x14ac:dyDescent="0.25">
      <c r="A3" s="1" t="s">
        <v>0</v>
      </c>
      <c r="B3" s="2" t="s">
        <v>1</v>
      </c>
      <c r="J3" s="87" t="s">
        <v>9</v>
      </c>
      <c r="K3" s="87"/>
      <c r="L3" s="87"/>
      <c r="M3" s="87"/>
      <c r="N3" s="87"/>
      <c r="X3" s="38" t="s">
        <v>62</v>
      </c>
    </row>
    <row r="4" spans="1:26" x14ac:dyDescent="0.25">
      <c r="A4" s="1">
        <v>0</v>
      </c>
      <c r="B4" s="34">
        <v>155</v>
      </c>
    </row>
    <row r="5" spans="1:26" x14ac:dyDescent="0.25">
      <c r="A5" s="1">
        <v>1</v>
      </c>
      <c r="B5" s="3">
        <f>B4*1.05</f>
        <v>162.75</v>
      </c>
      <c r="X5" s="37" t="s">
        <v>49</v>
      </c>
      <c r="Y5" s="37" t="s">
        <v>55</v>
      </c>
      <c r="Z5" s="37" t="s">
        <v>17</v>
      </c>
    </row>
    <row r="6" spans="1:26" x14ac:dyDescent="0.25">
      <c r="A6" s="1">
        <v>2</v>
      </c>
      <c r="B6" s="3">
        <f t="shared" ref="B6:B24" si="0">B5*1.05</f>
        <v>170.88750000000002</v>
      </c>
      <c r="E6" s="37" t="s">
        <v>4</v>
      </c>
      <c r="F6" s="37" t="s">
        <v>5</v>
      </c>
      <c r="G6" s="37" t="s">
        <v>6</v>
      </c>
      <c r="H6" s="37" t="s">
        <v>7</v>
      </c>
    </row>
    <row r="7" spans="1:26" x14ac:dyDescent="0.25">
      <c r="A7" s="1">
        <v>3</v>
      </c>
      <c r="B7" s="3">
        <f t="shared" si="0"/>
        <v>179.43187500000002</v>
      </c>
      <c r="E7" s="37">
        <v>1.2</v>
      </c>
      <c r="F7" s="37">
        <v>200</v>
      </c>
      <c r="G7" s="23">
        <f>B24</f>
        <v>411.26114429738556</v>
      </c>
      <c r="H7" s="22">
        <f>(E7*F7*G7)/86400</f>
        <v>1.1423920674927377</v>
      </c>
      <c r="R7" s="90" t="s">
        <v>42</v>
      </c>
      <c r="S7" s="90"/>
      <c r="T7" s="90"/>
      <c r="X7" s="37" t="s">
        <v>20</v>
      </c>
      <c r="Y7" s="37" t="s">
        <v>56</v>
      </c>
      <c r="Z7" s="37">
        <v>4</v>
      </c>
    </row>
    <row r="8" spans="1:26" x14ac:dyDescent="0.25">
      <c r="A8" s="1">
        <v>4</v>
      </c>
      <c r="B8" s="3">
        <f t="shared" si="0"/>
        <v>188.40346875000003</v>
      </c>
      <c r="H8" s="37">
        <f>H7*1.75</f>
        <v>1.999186118112291</v>
      </c>
      <c r="J8" s="90" t="s">
        <v>10</v>
      </c>
      <c r="K8" s="90"/>
      <c r="L8" s="90"/>
      <c r="N8" s="6">
        <f>N9/N10</f>
        <v>8.2541567695961993E-2</v>
      </c>
      <c r="O8" s="37" t="s">
        <v>13</v>
      </c>
      <c r="R8" s="90" t="s">
        <v>43</v>
      </c>
      <c r="S8" s="90"/>
      <c r="T8" s="90"/>
      <c r="U8" s="90"/>
      <c r="V8" s="37">
        <f xml:space="preserve"> 1000</f>
        <v>1000</v>
      </c>
      <c r="X8" s="37" t="s">
        <v>21</v>
      </c>
      <c r="Y8" s="37" t="s">
        <v>56</v>
      </c>
      <c r="Z8" s="37">
        <v>1</v>
      </c>
    </row>
    <row r="9" spans="1:26" x14ac:dyDescent="0.25">
      <c r="A9" s="1">
        <v>5</v>
      </c>
      <c r="B9" s="3">
        <f t="shared" si="0"/>
        <v>197.82364218750004</v>
      </c>
      <c r="J9" s="90" t="s">
        <v>11</v>
      </c>
      <c r="K9" s="90"/>
      <c r="L9" s="90"/>
      <c r="M9" s="90"/>
      <c r="N9" s="21">
        <v>139</v>
      </c>
      <c r="O9" s="37" t="s">
        <v>14</v>
      </c>
      <c r="R9" s="90" t="s">
        <v>44</v>
      </c>
      <c r="S9" s="90"/>
      <c r="X9" s="37" t="s">
        <v>91</v>
      </c>
      <c r="Y9" s="37" t="s">
        <v>56</v>
      </c>
      <c r="Z9" s="37">
        <v>4</v>
      </c>
    </row>
    <row r="10" spans="1:26" x14ac:dyDescent="0.25">
      <c r="A10" s="1">
        <v>6</v>
      </c>
      <c r="B10" s="3">
        <f t="shared" si="0"/>
        <v>207.71482429687507</v>
      </c>
      <c r="J10" s="90" t="s">
        <v>12</v>
      </c>
      <c r="K10" s="90"/>
      <c r="L10" s="90"/>
      <c r="N10" s="21">
        <v>1684</v>
      </c>
      <c r="O10" s="37" t="s">
        <v>14</v>
      </c>
      <c r="R10" s="90" t="s">
        <v>45</v>
      </c>
      <c r="S10" s="90"/>
      <c r="T10" s="90"/>
      <c r="X10" s="37" t="s">
        <v>90</v>
      </c>
      <c r="Y10" s="37" t="s">
        <v>56</v>
      </c>
      <c r="Z10" s="37">
        <v>5</v>
      </c>
    </row>
    <row r="11" spans="1:26" x14ac:dyDescent="0.25">
      <c r="A11" s="1">
        <v>7</v>
      </c>
      <c r="B11" s="3">
        <f t="shared" si="0"/>
        <v>218.10056551171883</v>
      </c>
      <c r="R11" s="91" t="s">
        <v>48</v>
      </c>
      <c r="S11" s="91"/>
      <c r="T11" s="91"/>
      <c r="V11" s="16">
        <v>0.7</v>
      </c>
      <c r="X11" s="37" t="s">
        <v>80</v>
      </c>
      <c r="Y11" s="37" t="s">
        <v>14</v>
      </c>
      <c r="Z11" s="37">
        <v>8767</v>
      </c>
    </row>
    <row r="12" spans="1:26" x14ac:dyDescent="0.25">
      <c r="A12" s="1">
        <v>8</v>
      </c>
      <c r="B12" s="3">
        <f t="shared" si="0"/>
        <v>229.00559378730478</v>
      </c>
      <c r="D12" s="37">
        <f>31*5</f>
        <v>155</v>
      </c>
      <c r="R12" s="37" t="s">
        <v>46</v>
      </c>
      <c r="S12" s="37">
        <f>V8*N27*(N9+M21)/(75*0.7)</f>
        <v>5.7957357557464881</v>
      </c>
      <c r="T12" s="37" t="s">
        <v>47</v>
      </c>
      <c r="X12" s="24" t="s">
        <v>87</v>
      </c>
      <c r="Y12" s="37" t="s">
        <v>14</v>
      </c>
      <c r="Z12" s="37">
        <v>1817</v>
      </c>
    </row>
    <row r="13" spans="1:26" ht="15.75" x14ac:dyDescent="0.25">
      <c r="A13" s="1">
        <v>9</v>
      </c>
      <c r="B13" s="3">
        <f t="shared" si="0"/>
        <v>240.45587347667004</v>
      </c>
      <c r="J13" s="87" t="s">
        <v>15</v>
      </c>
      <c r="K13" s="87"/>
      <c r="L13" s="87"/>
      <c r="M13" s="87"/>
      <c r="N13" s="87"/>
      <c r="O13" s="87"/>
      <c r="P13" s="87"/>
      <c r="Q13" s="10"/>
      <c r="X13" s="24" t="s">
        <v>88</v>
      </c>
      <c r="Y13" s="37" t="s">
        <v>14</v>
      </c>
      <c r="Z13" s="27">
        <v>1651</v>
      </c>
    </row>
    <row r="14" spans="1:26" x14ac:dyDescent="0.25">
      <c r="A14" s="1">
        <v>10</v>
      </c>
      <c r="B14" s="3">
        <f t="shared" si="0"/>
        <v>252.47866715050355</v>
      </c>
      <c r="X14" s="25" t="s">
        <v>89</v>
      </c>
      <c r="Y14" s="37" t="s">
        <v>56</v>
      </c>
      <c r="Z14" s="27">
        <v>1</v>
      </c>
    </row>
    <row r="15" spans="1:26" ht="16.5" customHeight="1" x14ac:dyDescent="0.25">
      <c r="A15" s="1">
        <v>11</v>
      </c>
      <c r="B15" s="3">
        <f t="shared" si="0"/>
        <v>265.10260050802873</v>
      </c>
      <c r="J15" s="7" t="s">
        <v>16</v>
      </c>
      <c r="K15" s="7" t="s">
        <v>17</v>
      </c>
      <c r="L15" s="7" t="s">
        <v>18</v>
      </c>
      <c r="M15" s="8" t="s">
        <v>19</v>
      </c>
      <c r="X15" s="26" t="s">
        <v>84</v>
      </c>
      <c r="Y15" s="37" t="s">
        <v>56</v>
      </c>
      <c r="Z15" s="27">
        <v>32</v>
      </c>
    </row>
    <row r="16" spans="1:26" x14ac:dyDescent="0.25">
      <c r="A16" s="1">
        <v>12</v>
      </c>
      <c r="B16" s="3">
        <f t="shared" si="0"/>
        <v>278.35773053343019</v>
      </c>
      <c r="J16" s="7" t="s">
        <v>20</v>
      </c>
      <c r="K16" s="19">
        <v>1</v>
      </c>
      <c r="L16" s="19">
        <v>0.4</v>
      </c>
      <c r="M16" s="19">
        <f>L16*K16</f>
        <v>0.4</v>
      </c>
      <c r="X16" s="26" t="s">
        <v>82</v>
      </c>
      <c r="Y16" s="37" t="s">
        <v>56</v>
      </c>
      <c r="Z16" s="27">
        <v>31</v>
      </c>
    </row>
    <row r="17" spans="1:26" x14ac:dyDescent="0.25">
      <c r="A17" s="1">
        <v>13</v>
      </c>
      <c r="B17" s="3">
        <f t="shared" si="0"/>
        <v>292.27561706010169</v>
      </c>
      <c r="J17" s="7" t="s">
        <v>21</v>
      </c>
      <c r="K17" s="19">
        <v>1</v>
      </c>
      <c r="L17" s="19">
        <v>6.4</v>
      </c>
      <c r="M17" s="19">
        <f t="shared" ref="M17:M19" si="1">L17*K17</f>
        <v>6.4</v>
      </c>
      <c r="X17" s="26" t="s">
        <v>85</v>
      </c>
      <c r="Y17" s="37" t="s">
        <v>56</v>
      </c>
      <c r="Z17" s="27">
        <v>28</v>
      </c>
    </row>
    <row r="18" spans="1:26" x14ac:dyDescent="0.25">
      <c r="A18" s="1">
        <v>14</v>
      </c>
      <c r="B18" s="3">
        <f t="shared" si="0"/>
        <v>306.88939791310679</v>
      </c>
      <c r="J18" s="7" t="s">
        <v>22</v>
      </c>
      <c r="K18" s="19">
        <v>4</v>
      </c>
      <c r="L18" s="19">
        <v>1.1000000000000001</v>
      </c>
      <c r="M18" s="19">
        <f t="shared" si="1"/>
        <v>4.4000000000000004</v>
      </c>
      <c r="X18" s="26" t="s">
        <v>93</v>
      </c>
      <c r="Y18" s="37" t="s">
        <v>56</v>
      </c>
      <c r="Z18" s="27">
        <v>3</v>
      </c>
    </row>
    <row r="19" spans="1:26" x14ac:dyDescent="0.25">
      <c r="A19" s="1">
        <v>15</v>
      </c>
      <c r="B19" s="3">
        <f t="shared" si="0"/>
        <v>322.23386780876217</v>
      </c>
      <c r="J19" s="7" t="s">
        <v>23</v>
      </c>
      <c r="K19" s="19">
        <v>5</v>
      </c>
      <c r="L19" s="19">
        <v>0.4</v>
      </c>
      <c r="M19" s="19">
        <f t="shared" si="1"/>
        <v>2</v>
      </c>
      <c r="X19" s="25" t="s">
        <v>86</v>
      </c>
      <c r="Y19" s="37" t="s">
        <v>56</v>
      </c>
      <c r="Z19" s="27">
        <v>3</v>
      </c>
    </row>
    <row r="20" spans="1:26" x14ac:dyDescent="0.25">
      <c r="A20" s="1">
        <v>16</v>
      </c>
      <c r="B20" s="3">
        <f t="shared" si="0"/>
        <v>338.34556119920029</v>
      </c>
      <c r="J20" s="18"/>
      <c r="K20" s="20"/>
      <c r="L20" s="19"/>
      <c r="M20" s="19"/>
      <c r="X20" s="28" t="s">
        <v>73</v>
      </c>
      <c r="Y20" s="37" t="s">
        <v>56</v>
      </c>
      <c r="Z20" s="39">
        <v>1</v>
      </c>
    </row>
    <row r="21" spans="1:26" x14ac:dyDescent="0.25">
      <c r="A21" s="1">
        <v>17</v>
      </c>
      <c r="B21" s="3">
        <f t="shared" si="0"/>
        <v>355.26283925916033</v>
      </c>
      <c r="L21" s="9" t="s">
        <v>24</v>
      </c>
      <c r="M21" s="37">
        <f>SUM(M16:M20)</f>
        <v>13.200000000000001</v>
      </c>
      <c r="X21" s="37" t="s">
        <v>76</v>
      </c>
      <c r="Y21" s="37" t="s">
        <v>56</v>
      </c>
      <c r="Z21" s="29">
        <v>3</v>
      </c>
    </row>
    <row r="22" spans="1:26" x14ac:dyDescent="0.25">
      <c r="A22" s="1">
        <v>18</v>
      </c>
      <c r="B22" s="3">
        <f t="shared" si="0"/>
        <v>373.02598122211839</v>
      </c>
      <c r="X22" s="37" t="s">
        <v>83</v>
      </c>
      <c r="Y22" s="37" t="s">
        <v>56</v>
      </c>
      <c r="Z22" s="29">
        <v>4</v>
      </c>
    </row>
    <row r="23" spans="1:26" x14ac:dyDescent="0.25">
      <c r="A23" s="1">
        <v>19</v>
      </c>
      <c r="B23" s="3">
        <f t="shared" si="0"/>
        <v>391.67728028322432</v>
      </c>
    </row>
    <row r="24" spans="1:26" ht="15.75" x14ac:dyDescent="0.25">
      <c r="A24" s="4">
        <v>20</v>
      </c>
      <c r="B24" s="17">
        <f t="shared" si="0"/>
        <v>411.26114429738556</v>
      </c>
      <c r="X24" s="38" t="s">
        <v>78</v>
      </c>
      <c r="Y24" s="38"/>
      <c r="Z24" s="38"/>
    </row>
    <row r="25" spans="1:26" x14ac:dyDescent="0.25">
      <c r="X25" s="37" t="s">
        <v>49</v>
      </c>
      <c r="Y25" s="37" t="s">
        <v>55</v>
      </c>
      <c r="Z25" s="37" t="s">
        <v>17</v>
      </c>
    </row>
    <row r="27" spans="1:26" x14ac:dyDescent="0.25">
      <c r="J27" s="37" t="s">
        <v>27</v>
      </c>
      <c r="N27" s="22">
        <f>H8/1000</f>
        <v>1.9991861181122908E-3</v>
      </c>
      <c r="X27" s="37" t="s">
        <v>50</v>
      </c>
      <c r="Y27" s="37" t="s">
        <v>57</v>
      </c>
      <c r="Z27" s="37">
        <v>90</v>
      </c>
    </row>
    <row r="28" spans="1:26" x14ac:dyDescent="0.25">
      <c r="J28" s="92" t="s">
        <v>25</v>
      </c>
      <c r="K28" s="92"/>
      <c r="L28" s="92"/>
      <c r="N28" s="22">
        <v>140</v>
      </c>
      <c r="X28" s="37" t="s">
        <v>51</v>
      </c>
      <c r="Y28" s="37" t="s">
        <v>58</v>
      </c>
      <c r="Z28" s="37">
        <v>8</v>
      </c>
    </row>
    <row r="29" spans="1:26" x14ac:dyDescent="0.25">
      <c r="J29" s="37" t="s">
        <v>26</v>
      </c>
      <c r="N29" s="37">
        <v>0.05</v>
      </c>
      <c r="X29" s="37" t="s">
        <v>77</v>
      </c>
      <c r="Y29" s="37" t="s">
        <v>59</v>
      </c>
      <c r="Z29" s="37">
        <v>380</v>
      </c>
    </row>
    <row r="30" spans="1:26" x14ac:dyDescent="0.25">
      <c r="J30" s="90" t="s">
        <v>28</v>
      </c>
      <c r="K30" s="90"/>
      <c r="N30" s="37">
        <f>M21</f>
        <v>13.200000000000001</v>
      </c>
      <c r="X30" s="37" t="s">
        <v>71</v>
      </c>
      <c r="Y30" s="37" t="s">
        <v>60</v>
      </c>
      <c r="Z30" s="37">
        <v>450</v>
      </c>
    </row>
    <row r="31" spans="1:26" x14ac:dyDescent="0.25">
      <c r="J31" s="90" t="s">
        <v>29</v>
      </c>
      <c r="K31" s="90"/>
      <c r="N31" s="37">
        <f>10.643*((N27/N28)^1.852)*(N30/(N29^4.87))</f>
        <v>0.32374653390609409</v>
      </c>
      <c r="X31" s="37" t="s">
        <v>52</v>
      </c>
      <c r="Y31" s="37" t="s">
        <v>60</v>
      </c>
      <c r="Z31" s="37">
        <v>450</v>
      </c>
    </row>
    <row r="32" spans="1:26" x14ac:dyDescent="0.25">
      <c r="X32" s="37" t="s">
        <v>53</v>
      </c>
      <c r="Y32" s="37" t="s">
        <v>59</v>
      </c>
      <c r="Z32" s="37">
        <v>10</v>
      </c>
    </row>
    <row r="33" spans="10:29" ht="15" customHeight="1" x14ac:dyDescent="0.25">
      <c r="X33" s="37" t="s">
        <v>54</v>
      </c>
      <c r="Y33" s="37" t="s">
        <v>58</v>
      </c>
      <c r="Z33" s="37">
        <v>140</v>
      </c>
    </row>
    <row r="34" spans="10:29" ht="15.75" x14ac:dyDescent="0.25">
      <c r="J34" s="87" t="s">
        <v>30</v>
      </c>
      <c r="K34" s="87"/>
      <c r="L34" s="87"/>
    </row>
    <row r="35" spans="10:29" ht="15.75" x14ac:dyDescent="0.25">
      <c r="X35" s="36" t="s">
        <v>63</v>
      </c>
      <c r="Y35" s="35"/>
      <c r="Z35" s="35"/>
    </row>
    <row r="36" spans="10:29" x14ac:dyDescent="0.25">
      <c r="Y36" s="37" t="s">
        <v>55</v>
      </c>
      <c r="Z36" s="37" t="s">
        <v>17</v>
      </c>
      <c r="AC36" s="37">
        <v>0.48</v>
      </c>
    </row>
    <row r="37" spans="10:29" x14ac:dyDescent="0.25">
      <c r="X37" s="31" t="s">
        <v>64</v>
      </c>
      <c r="Y37" s="37" t="s">
        <v>14</v>
      </c>
      <c r="Z37" s="37">
        <f>Z11</f>
        <v>8767</v>
      </c>
      <c r="AA37" s="37">
        <f>SUM(Z37:Z39)</f>
        <v>12235</v>
      </c>
    </row>
    <row r="38" spans="10:29" x14ac:dyDescent="0.25">
      <c r="X38" s="32" t="s">
        <v>79</v>
      </c>
      <c r="Y38" s="37" t="s">
        <v>14</v>
      </c>
      <c r="Z38" s="37">
        <f>Z12</f>
        <v>1817</v>
      </c>
      <c r="AB38" s="37">
        <f>0.75*AA37</f>
        <v>9176.25</v>
      </c>
    </row>
    <row r="39" spans="10:29" x14ac:dyDescent="0.25">
      <c r="X39" s="32" t="s">
        <v>65</v>
      </c>
      <c r="Y39" s="37" t="s">
        <v>14</v>
      </c>
      <c r="Z39" s="37">
        <f>Z13</f>
        <v>1651</v>
      </c>
      <c r="AB39" s="37">
        <f>0.2*AA37</f>
        <v>2447</v>
      </c>
    </row>
    <row r="40" spans="10:29" x14ac:dyDescent="0.25">
      <c r="X40" s="33" t="s">
        <v>74</v>
      </c>
      <c r="Y40" s="33" t="s">
        <v>58</v>
      </c>
      <c r="Z40" s="37">
        <f>AB38*AC36</f>
        <v>4404.5999999999995</v>
      </c>
      <c r="AB40" s="37">
        <f>0.05*AA37</f>
        <v>611.75</v>
      </c>
    </row>
    <row r="41" spans="10:29" x14ac:dyDescent="0.25">
      <c r="X41" s="37" t="s">
        <v>70</v>
      </c>
      <c r="Y41" s="33" t="s">
        <v>58</v>
      </c>
      <c r="Z41" s="37">
        <f>AB39*AC36</f>
        <v>1174.56</v>
      </c>
    </row>
    <row r="42" spans="10:29" x14ac:dyDescent="0.25">
      <c r="K42" s="37" t="s">
        <v>31</v>
      </c>
      <c r="L42" s="37">
        <f>((10.643*((N27/N28)^1.852))/N8)^(1/4.87)</f>
        <v>3.8971572236511154E-2</v>
      </c>
      <c r="M42" s="37" t="s">
        <v>14</v>
      </c>
      <c r="X42" s="37" t="s">
        <v>75</v>
      </c>
      <c r="Y42" s="33" t="s">
        <v>58</v>
      </c>
      <c r="Z42" s="37">
        <f>AB40*AC36</f>
        <v>293.64</v>
      </c>
    </row>
    <row r="43" spans="10:29" ht="30" x14ac:dyDescent="0.25">
      <c r="X43" s="30" t="s">
        <v>72</v>
      </c>
      <c r="Y43" s="37" t="s">
        <v>56</v>
      </c>
      <c r="Z43" s="37">
        <v>1</v>
      </c>
    </row>
    <row r="44" spans="10:29" x14ac:dyDescent="0.25">
      <c r="X44" s="37" t="s">
        <v>66</v>
      </c>
      <c r="Y44" s="37" t="s">
        <v>69</v>
      </c>
      <c r="Z44" s="37">
        <v>300</v>
      </c>
    </row>
    <row r="45" spans="10:29" ht="15" customHeight="1" x14ac:dyDescent="0.25">
      <c r="J45" s="94" t="s">
        <v>32</v>
      </c>
      <c r="K45" s="94"/>
      <c r="L45" s="94"/>
      <c r="M45" s="94"/>
      <c r="N45" s="94"/>
      <c r="X45" s="37" t="s">
        <v>67</v>
      </c>
      <c r="Y45" s="37" t="s">
        <v>69</v>
      </c>
      <c r="Z45" s="37">
        <v>90</v>
      </c>
    </row>
    <row r="46" spans="10:29" ht="15" customHeight="1" x14ac:dyDescent="0.25">
      <c r="J46" s="94"/>
      <c r="K46" s="94"/>
      <c r="L46" s="94"/>
      <c r="M46" s="94"/>
      <c r="N46" s="94"/>
      <c r="X46" s="37" t="s">
        <v>68</v>
      </c>
      <c r="Y46" s="37" t="s">
        <v>69</v>
      </c>
      <c r="Z46" s="37">
        <v>400</v>
      </c>
    </row>
    <row r="47" spans="10:29" ht="15" customHeight="1" x14ac:dyDescent="0.25">
      <c r="J47" s="94"/>
      <c r="K47" s="94"/>
      <c r="L47" s="94"/>
      <c r="M47" s="94"/>
      <c r="N47" s="94"/>
    </row>
    <row r="50" spans="10:14" x14ac:dyDescent="0.25">
      <c r="J50" s="95" t="s">
        <v>33</v>
      </c>
      <c r="K50" s="95"/>
      <c r="L50" s="95"/>
      <c r="M50" s="95"/>
      <c r="N50" s="95"/>
    </row>
    <row r="51" spans="10:14" ht="15.75" x14ac:dyDescent="0.25">
      <c r="J51" s="11"/>
    </row>
    <row r="52" spans="10:14" ht="15.75" x14ac:dyDescent="0.25">
      <c r="J52" s="11"/>
    </row>
    <row r="53" spans="10:14" ht="15.75" x14ac:dyDescent="0.25">
      <c r="J53" s="11"/>
    </row>
    <row r="54" spans="10:14" ht="18" x14ac:dyDescent="0.25">
      <c r="J54" s="12" t="s">
        <v>34</v>
      </c>
    </row>
    <row r="55" spans="10:14" ht="15.75" x14ac:dyDescent="0.25">
      <c r="J55" s="11"/>
    </row>
    <row r="56" spans="10:14" x14ac:dyDescent="0.25">
      <c r="J56" s="13" t="s">
        <v>35</v>
      </c>
    </row>
    <row r="57" spans="10:14" x14ac:dyDescent="0.25">
      <c r="J57" s="13" t="s">
        <v>36</v>
      </c>
    </row>
    <row r="58" spans="10:14" x14ac:dyDescent="0.25">
      <c r="J58" s="96" t="s">
        <v>37</v>
      </c>
      <c r="K58" s="96"/>
      <c r="L58" s="96"/>
      <c r="M58" s="96"/>
      <c r="N58" s="96"/>
    </row>
    <row r="59" spans="10:14" x14ac:dyDescent="0.25">
      <c r="J59" s="93" t="s">
        <v>38</v>
      </c>
      <c r="K59" s="93"/>
      <c r="L59" s="93"/>
      <c r="M59" s="93"/>
      <c r="N59" s="93"/>
    </row>
    <row r="60" spans="10:14" x14ac:dyDescent="0.25">
      <c r="J60" s="14"/>
      <c r="K60" s="14"/>
      <c r="L60" s="14"/>
      <c r="M60" s="14"/>
      <c r="N60" s="14"/>
    </row>
    <row r="61" spans="10:14" x14ac:dyDescent="0.25">
      <c r="K61" s="15" t="s">
        <v>39</v>
      </c>
      <c r="L61" s="15">
        <v>0.5</v>
      </c>
      <c r="M61" s="15"/>
      <c r="N61" s="15"/>
    </row>
    <row r="62" spans="10:14" x14ac:dyDescent="0.25">
      <c r="K62" s="37" t="s">
        <v>40</v>
      </c>
      <c r="L62" s="37">
        <v>1.2</v>
      </c>
    </row>
    <row r="63" spans="10:14" x14ac:dyDescent="0.25">
      <c r="K63" s="37" t="s">
        <v>31</v>
      </c>
      <c r="L63" s="37">
        <f>L61^(1/4)*L62*(N27^0.5)</f>
        <v>4.5118054122474556E-2</v>
      </c>
    </row>
  </sheetData>
  <mergeCells count="24">
    <mergeCell ref="J9:M9"/>
    <mergeCell ref="R9:S9"/>
    <mergeCell ref="J59:N59"/>
    <mergeCell ref="J10:L10"/>
    <mergeCell ref="R10:T10"/>
    <mergeCell ref="R11:T11"/>
    <mergeCell ref="J13:P13"/>
    <mergeCell ref="J28:L28"/>
    <mergeCell ref="J30:K30"/>
    <mergeCell ref="J31:K31"/>
    <mergeCell ref="J34:L34"/>
    <mergeCell ref="J45:N47"/>
    <mergeCell ref="J50:N50"/>
    <mergeCell ref="J58:N58"/>
    <mergeCell ref="X1:Z1"/>
    <mergeCell ref="J3:N3"/>
    <mergeCell ref="R7:T7"/>
    <mergeCell ref="J8:L8"/>
    <mergeCell ref="R8:U8"/>
    <mergeCell ref="A2:B2"/>
    <mergeCell ref="A1:C1"/>
    <mergeCell ref="E1:H1"/>
    <mergeCell ref="J1:O1"/>
    <mergeCell ref="R1:U1"/>
  </mergeCells>
  <pageMargins left="0.511811024" right="0.511811024" top="0.78740157499999996" bottom="0.78740157499999996" header="0.31496062000000002" footer="0.31496062000000002"/>
  <drawing r:id="rId1"/>
  <legacyDrawing r:id="rId2"/>
  <oleObjects>
    <mc:AlternateContent xmlns:mc="http://schemas.openxmlformats.org/markup-compatibility/2006">
      <mc:Choice Requires="x14">
        <oleObject progId="Equation.3" shapeId="9217" r:id="rId3">
          <objectPr defaultSize="0" autoPict="0" r:id="rId4">
            <anchor moveWithCells="1">
              <from>
                <xdr:col>4</xdr:col>
                <xdr:colOff>304800</xdr:colOff>
                <xdr:row>1</xdr:row>
                <xdr:rowOff>57150</xdr:rowOff>
              </from>
              <to>
                <xdr:col>7</xdr:col>
                <xdr:colOff>200025</xdr:colOff>
                <xdr:row>3</xdr:row>
                <xdr:rowOff>161925</xdr:rowOff>
              </to>
            </anchor>
          </objectPr>
        </oleObject>
      </mc:Choice>
      <mc:Fallback>
        <oleObject progId="Equation.3" shapeId="9217" r:id="rId3"/>
      </mc:Fallback>
    </mc:AlternateContent>
    <mc:AlternateContent xmlns:mc="http://schemas.openxmlformats.org/markup-compatibility/2006">
      <mc:Choice Requires="x14">
        <oleObject progId="Equation.3" shapeId="9218" r:id="rId5">
          <objectPr defaultSize="0" autoPict="0" r:id="rId4">
            <anchor moveWithCells="1">
              <from>
                <xdr:col>4</xdr:col>
                <xdr:colOff>304800</xdr:colOff>
                <xdr:row>1</xdr:row>
                <xdr:rowOff>57150</xdr:rowOff>
              </from>
              <to>
                <xdr:col>7</xdr:col>
                <xdr:colOff>200025</xdr:colOff>
                <xdr:row>4</xdr:row>
                <xdr:rowOff>38100</xdr:rowOff>
              </to>
            </anchor>
          </objectPr>
        </oleObject>
      </mc:Choice>
      <mc:Fallback>
        <oleObject progId="Equation.3" shapeId="9218" r:id="rId5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C63"/>
  <sheetViews>
    <sheetView topLeftCell="C15" workbookViewId="0">
      <selection activeCell="X24" sqref="X24:AD32"/>
    </sheetView>
  </sheetViews>
  <sheetFormatPr defaultRowHeight="15" x14ac:dyDescent="0.25"/>
  <cols>
    <col min="1" max="1" width="9.140625" style="37" customWidth="1"/>
    <col min="2" max="9" width="9.140625" style="37"/>
    <col min="10" max="10" width="18.85546875" style="37" bestFit="1" customWidth="1"/>
    <col min="11" max="11" width="11.5703125" style="37" customWidth="1"/>
    <col min="12" max="12" width="9.140625" style="37"/>
    <col min="13" max="13" width="9.140625" style="37" customWidth="1"/>
    <col min="14" max="14" width="9.5703125" style="37" bestFit="1" customWidth="1"/>
    <col min="15" max="23" width="9.140625" style="37"/>
    <col min="24" max="24" width="75.28515625" style="37" bestFit="1" customWidth="1"/>
    <col min="25" max="25" width="9.140625" style="37"/>
    <col min="26" max="26" width="11.28515625" style="37" customWidth="1"/>
    <col min="27" max="28" width="9" style="37" hidden="1" customWidth="1"/>
    <col min="29" max="29" width="9.140625" style="37" hidden="1" customWidth="1"/>
    <col min="30" max="16384" width="9.140625" style="37"/>
  </cols>
  <sheetData>
    <row r="1" spans="1:26" ht="15.75" x14ac:dyDescent="0.25">
      <c r="A1" s="85" t="s">
        <v>2</v>
      </c>
      <c r="B1" s="86"/>
      <c r="C1" s="86"/>
      <c r="D1" s="5"/>
      <c r="E1" s="87" t="s">
        <v>3</v>
      </c>
      <c r="F1" s="87"/>
      <c r="G1" s="87"/>
      <c r="H1" s="88"/>
      <c r="J1" s="87" t="s">
        <v>8</v>
      </c>
      <c r="K1" s="87"/>
      <c r="L1" s="87"/>
      <c r="M1" s="87"/>
      <c r="N1" s="87"/>
      <c r="O1" s="87"/>
      <c r="R1" s="89" t="s">
        <v>41</v>
      </c>
      <c r="S1" s="89"/>
      <c r="T1" s="89"/>
      <c r="U1" s="89"/>
      <c r="X1" s="87" t="s">
        <v>61</v>
      </c>
      <c r="Y1" s="87"/>
      <c r="Z1" s="87"/>
    </row>
    <row r="2" spans="1:26" x14ac:dyDescent="0.25">
      <c r="A2" s="83" t="s">
        <v>95</v>
      </c>
      <c r="B2" s="84"/>
    </row>
    <row r="3" spans="1:26" ht="15.75" x14ac:dyDescent="0.25">
      <c r="A3" s="1" t="s">
        <v>0</v>
      </c>
      <c r="B3" s="2" t="s">
        <v>1</v>
      </c>
      <c r="J3" s="87" t="s">
        <v>9</v>
      </c>
      <c r="K3" s="87"/>
      <c r="L3" s="87"/>
      <c r="M3" s="87"/>
      <c r="N3" s="87"/>
      <c r="X3" s="38" t="s">
        <v>62</v>
      </c>
    </row>
    <row r="4" spans="1:26" x14ac:dyDescent="0.25">
      <c r="A4" s="1">
        <v>0</v>
      </c>
      <c r="B4" s="34">
        <v>115</v>
      </c>
    </row>
    <row r="5" spans="1:26" x14ac:dyDescent="0.25">
      <c r="A5" s="1">
        <v>1</v>
      </c>
      <c r="B5" s="3">
        <f>B4*1.05</f>
        <v>120.75</v>
      </c>
      <c r="X5" s="37" t="s">
        <v>49</v>
      </c>
      <c r="Y5" s="37" t="s">
        <v>55</v>
      </c>
      <c r="Z5" s="37" t="s">
        <v>17</v>
      </c>
    </row>
    <row r="6" spans="1:26" x14ac:dyDescent="0.25">
      <c r="A6" s="1">
        <v>2</v>
      </c>
      <c r="B6" s="3">
        <f t="shared" ref="B6:B24" si="0">B5*1.05</f>
        <v>126.78750000000001</v>
      </c>
      <c r="E6" s="37" t="s">
        <v>4</v>
      </c>
      <c r="F6" s="37" t="s">
        <v>5</v>
      </c>
      <c r="G6" s="37" t="s">
        <v>6</v>
      </c>
      <c r="H6" s="37" t="s">
        <v>7</v>
      </c>
    </row>
    <row r="7" spans="1:26" x14ac:dyDescent="0.25">
      <c r="A7" s="1">
        <v>3</v>
      </c>
      <c r="B7" s="3">
        <f t="shared" si="0"/>
        <v>133.12687500000001</v>
      </c>
      <c r="E7" s="37">
        <v>1.2</v>
      </c>
      <c r="F7" s="37">
        <v>200</v>
      </c>
      <c r="G7" s="23">
        <f>B24</f>
        <v>305.12923609160867</v>
      </c>
      <c r="H7" s="22">
        <f>(E7*F7*G7)/86400</f>
        <v>0.84758121136557962</v>
      </c>
      <c r="R7" s="90" t="s">
        <v>42</v>
      </c>
      <c r="S7" s="90"/>
      <c r="T7" s="90"/>
      <c r="X7" s="37" t="s">
        <v>20</v>
      </c>
      <c r="Y7" s="37" t="s">
        <v>56</v>
      </c>
      <c r="Z7" s="37">
        <v>3</v>
      </c>
    </row>
    <row r="8" spans="1:26" x14ac:dyDescent="0.25">
      <c r="A8" s="1">
        <v>4</v>
      </c>
      <c r="B8" s="3">
        <f t="shared" si="0"/>
        <v>139.78321875000003</v>
      </c>
      <c r="H8" s="37">
        <f>H7*1.75</f>
        <v>1.4832671198897645</v>
      </c>
      <c r="J8" s="90" t="s">
        <v>10</v>
      </c>
      <c r="K8" s="90"/>
      <c r="L8" s="90"/>
      <c r="N8" s="6">
        <f>N9/N10</f>
        <v>2.7777777777777776E-2</v>
      </c>
      <c r="O8" s="37" t="s">
        <v>13</v>
      </c>
      <c r="R8" s="90" t="s">
        <v>43</v>
      </c>
      <c r="S8" s="90"/>
      <c r="T8" s="90"/>
      <c r="U8" s="90"/>
      <c r="V8" s="37">
        <f xml:space="preserve"> 1000</f>
        <v>1000</v>
      </c>
      <c r="X8" s="37" t="s">
        <v>21</v>
      </c>
      <c r="Y8" s="37" t="s">
        <v>56</v>
      </c>
      <c r="Z8" s="37">
        <v>1</v>
      </c>
    </row>
    <row r="9" spans="1:26" x14ac:dyDescent="0.25">
      <c r="A9" s="1">
        <v>5</v>
      </c>
      <c r="B9" s="3">
        <f t="shared" si="0"/>
        <v>146.77237968750003</v>
      </c>
      <c r="J9" s="90" t="s">
        <v>11</v>
      </c>
      <c r="K9" s="90"/>
      <c r="L9" s="90"/>
      <c r="M9" s="90"/>
      <c r="N9" s="21">
        <v>79</v>
      </c>
      <c r="O9" s="37" t="s">
        <v>14</v>
      </c>
      <c r="R9" s="90" t="s">
        <v>44</v>
      </c>
      <c r="S9" s="90"/>
      <c r="X9" s="37" t="s">
        <v>91</v>
      </c>
      <c r="Y9" s="37" t="s">
        <v>56</v>
      </c>
      <c r="Z9" s="37">
        <v>4</v>
      </c>
    </row>
    <row r="10" spans="1:26" x14ac:dyDescent="0.25">
      <c r="A10" s="1">
        <v>6</v>
      </c>
      <c r="B10" s="3">
        <f t="shared" si="0"/>
        <v>154.11099867187505</v>
      </c>
      <c r="J10" s="90" t="s">
        <v>12</v>
      </c>
      <c r="K10" s="90"/>
      <c r="L10" s="90"/>
      <c r="N10" s="21">
        <v>2844</v>
      </c>
      <c r="O10" s="37" t="s">
        <v>14</v>
      </c>
      <c r="R10" s="90" t="s">
        <v>45</v>
      </c>
      <c r="S10" s="90"/>
      <c r="T10" s="90"/>
      <c r="X10" s="37" t="s">
        <v>90</v>
      </c>
      <c r="Y10" s="37" t="s">
        <v>56</v>
      </c>
      <c r="Z10" s="37">
        <v>5</v>
      </c>
    </row>
    <row r="11" spans="1:26" x14ac:dyDescent="0.25">
      <c r="A11" s="1">
        <v>7</v>
      </c>
      <c r="B11" s="3">
        <f t="shared" si="0"/>
        <v>161.81654860546882</v>
      </c>
      <c r="R11" s="91" t="s">
        <v>48</v>
      </c>
      <c r="S11" s="91"/>
      <c r="T11" s="91"/>
      <c r="V11" s="16">
        <v>0.7</v>
      </c>
      <c r="X11" s="37" t="s">
        <v>80</v>
      </c>
      <c r="Y11" s="37" t="s">
        <v>14</v>
      </c>
      <c r="Z11" s="37">
        <v>9031</v>
      </c>
    </row>
    <row r="12" spans="1:26" x14ac:dyDescent="0.25">
      <c r="A12" s="1">
        <v>8</v>
      </c>
      <c r="B12" s="3">
        <f t="shared" si="0"/>
        <v>169.90737603574226</v>
      </c>
      <c r="D12" s="37">
        <f>23*5</f>
        <v>115</v>
      </c>
      <c r="R12" s="37" t="s">
        <v>46</v>
      </c>
      <c r="S12" s="37">
        <f>V8*N27*(N9+M21)/(75*0.7)</f>
        <v>2.6048995895968816</v>
      </c>
      <c r="T12" s="37" t="s">
        <v>47</v>
      </c>
      <c r="X12" s="24" t="s">
        <v>87</v>
      </c>
      <c r="Y12" s="37" t="s">
        <v>14</v>
      </c>
      <c r="Z12" s="37">
        <v>599</v>
      </c>
    </row>
    <row r="13" spans="1:26" ht="15.75" x14ac:dyDescent="0.25">
      <c r="A13" s="1">
        <v>9</v>
      </c>
      <c r="B13" s="3">
        <f t="shared" si="0"/>
        <v>178.40274483752938</v>
      </c>
      <c r="J13" s="87" t="s">
        <v>15</v>
      </c>
      <c r="K13" s="87"/>
      <c r="L13" s="87"/>
      <c r="M13" s="87"/>
      <c r="N13" s="87"/>
      <c r="O13" s="87"/>
      <c r="P13" s="87"/>
      <c r="Q13" s="10"/>
      <c r="X13" s="24" t="s">
        <v>88</v>
      </c>
      <c r="Y13" s="37" t="s">
        <v>14</v>
      </c>
      <c r="Z13" s="27">
        <v>1162</v>
      </c>
    </row>
    <row r="14" spans="1:26" x14ac:dyDescent="0.25">
      <c r="A14" s="1">
        <v>10</v>
      </c>
      <c r="B14" s="3">
        <f t="shared" si="0"/>
        <v>187.32288207940587</v>
      </c>
      <c r="X14" s="25" t="s">
        <v>89</v>
      </c>
      <c r="Y14" s="37" t="s">
        <v>56</v>
      </c>
      <c r="Z14" s="27">
        <v>1</v>
      </c>
    </row>
    <row r="15" spans="1:26" ht="16.5" customHeight="1" x14ac:dyDescent="0.25">
      <c r="A15" s="1">
        <v>11</v>
      </c>
      <c r="B15" s="3">
        <f t="shared" si="0"/>
        <v>196.68902618337617</v>
      </c>
      <c r="J15" s="7" t="s">
        <v>16</v>
      </c>
      <c r="K15" s="7" t="s">
        <v>17</v>
      </c>
      <c r="L15" s="7" t="s">
        <v>18</v>
      </c>
      <c r="M15" s="8" t="s">
        <v>19</v>
      </c>
      <c r="X15" s="26" t="s">
        <v>84</v>
      </c>
      <c r="Y15" s="37" t="s">
        <v>56</v>
      </c>
      <c r="Z15" s="27">
        <v>27</v>
      </c>
    </row>
    <row r="16" spans="1:26" x14ac:dyDescent="0.25">
      <c r="A16" s="1">
        <v>12</v>
      </c>
      <c r="B16" s="3">
        <f t="shared" si="0"/>
        <v>206.523477492545</v>
      </c>
      <c r="J16" s="7" t="s">
        <v>20</v>
      </c>
      <c r="K16" s="19">
        <v>1</v>
      </c>
      <c r="L16" s="19">
        <v>0.4</v>
      </c>
      <c r="M16" s="19">
        <f>L16*K16</f>
        <v>0.4</v>
      </c>
      <c r="X16" s="26" t="s">
        <v>82</v>
      </c>
      <c r="Y16" s="37" t="s">
        <v>56</v>
      </c>
      <c r="Z16" s="27">
        <v>23</v>
      </c>
    </row>
    <row r="17" spans="1:26" x14ac:dyDescent="0.25">
      <c r="A17" s="1">
        <v>13</v>
      </c>
      <c r="B17" s="3">
        <f t="shared" si="0"/>
        <v>216.84965136717227</v>
      </c>
      <c r="J17" s="7" t="s">
        <v>21</v>
      </c>
      <c r="K17" s="19">
        <v>1</v>
      </c>
      <c r="L17" s="19">
        <v>6.4</v>
      </c>
      <c r="M17" s="19">
        <f t="shared" ref="M17:M19" si="1">L17*K17</f>
        <v>6.4</v>
      </c>
      <c r="X17" s="26" t="s">
        <v>85</v>
      </c>
      <c r="Y17" s="37" t="s">
        <v>56</v>
      </c>
      <c r="Z17" s="27">
        <v>21</v>
      </c>
    </row>
    <row r="18" spans="1:26" x14ac:dyDescent="0.25">
      <c r="A18" s="1">
        <v>14</v>
      </c>
      <c r="B18" s="3">
        <f t="shared" si="0"/>
        <v>227.6921339355309</v>
      </c>
      <c r="J18" s="7" t="s">
        <v>22</v>
      </c>
      <c r="K18" s="19">
        <v>4</v>
      </c>
      <c r="L18" s="19">
        <v>1.1000000000000001</v>
      </c>
      <c r="M18" s="19">
        <f t="shared" si="1"/>
        <v>4.4000000000000004</v>
      </c>
      <c r="X18" s="26" t="s">
        <v>93</v>
      </c>
      <c r="Y18" s="37" t="s">
        <v>56</v>
      </c>
      <c r="Z18" s="27">
        <v>2</v>
      </c>
    </row>
    <row r="19" spans="1:26" x14ac:dyDescent="0.25">
      <c r="A19" s="1">
        <v>15</v>
      </c>
      <c r="B19" s="3">
        <f t="shared" si="0"/>
        <v>239.07674063230746</v>
      </c>
      <c r="J19" s="7" t="s">
        <v>23</v>
      </c>
      <c r="K19" s="19">
        <v>5</v>
      </c>
      <c r="L19" s="19">
        <v>0.4</v>
      </c>
      <c r="M19" s="19">
        <f t="shared" si="1"/>
        <v>2</v>
      </c>
      <c r="X19" s="25" t="s">
        <v>86</v>
      </c>
      <c r="Y19" s="37" t="s">
        <v>56</v>
      </c>
      <c r="Z19" s="27">
        <v>2</v>
      </c>
    </row>
    <row r="20" spans="1:26" x14ac:dyDescent="0.25">
      <c r="A20" s="1">
        <v>16</v>
      </c>
      <c r="B20" s="3">
        <f t="shared" si="0"/>
        <v>251.03057766392286</v>
      </c>
      <c r="J20" s="18"/>
      <c r="K20" s="20"/>
      <c r="L20" s="19"/>
      <c r="M20" s="19"/>
      <c r="X20" s="28" t="s">
        <v>73</v>
      </c>
      <c r="Y20" s="37" t="s">
        <v>56</v>
      </c>
      <c r="Z20" s="39">
        <v>1</v>
      </c>
    </row>
    <row r="21" spans="1:26" x14ac:dyDescent="0.25">
      <c r="A21" s="1">
        <v>17</v>
      </c>
      <c r="B21" s="3">
        <f t="shared" si="0"/>
        <v>263.582106547119</v>
      </c>
      <c r="L21" s="9" t="s">
        <v>24</v>
      </c>
      <c r="M21" s="37">
        <f>SUM(M16:M20)</f>
        <v>13.200000000000001</v>
      </c>
      <c r="X21" s="37" t="s">
        <v>76</v>
      </c>
      <c r="Y21" s="37" t="s">
        <v>56</v>
      </c>
      <c r="Z21" s="29">
        <v>2</v>
      </c>
    </row>
    <row r="22" spans="1:26" x14ac:dyDescent="0.25">
      <c r="A22" s="1">
        <v>18</v>
      </c>
      <c r="B22" s="3">
        <f t="shared" si="0"/>
        <v>276.76121187447495</v>
      </c>
      <c r="X22" s="37" t="s">
        <v>83</v>
      </c>
      <c r="Y22" s="37" t="s">
        <v>56</v>
      </c>
      <c r="Z22" s="29">
        <v>4</v>
      </c>
    </row>
    <row r="23" spans="1:26" x14ac:dyDescent="0.25">
      <c r="A23" s="1">
        <v>19</v>
      </c>
      <c r="B23" s="3">
        <f t="shared" si="0"/>
        <v>290.59927246819871</v>
      </c>
    </row>
    <row r="24" spans="1:26" ht="15.75" x14ac:dyDescent="0.25">
      <c r="A24" s="4">
        <v>20</v>
      </c>
      <c r="B24" s="17">
        <f t="shared" si="0"/>
        <v>305.12923609160867</v>
      </c>
      <c r="X24" s="38" t="s">
        <v>78</v>
      </c>
      <c r="Y24" s="38"/>
      <c r="Z24" s="38"/>
    </row>
    <row r="25" spans="1:26" x14ac:dyDescent="0.25">
      <c r="X25" s="37" t="s">
        <v>49</v>
      </c>
      <c r="Y25" s="37" t="s">
        <v>55</v>
      </c>
      <c r="Z25" s="37" t="s">
        <v>17</v>
      </c>
    </row>
    <row r="27" spans="1:26" x14ac:dyDescent="0.25">
      <c r="J27" s="37" t="s">
        <v>27</v>
      </c>
      <c r="N27" s="22">
        <f>H8/1000</f>
        <v>1.4832671198897645E-3</v>
      </c>
      <c r="X27" s="37" t="s">
        <v>50</v>
      </c>
      <c r="Y27" s="37" t="s">
        <v>57</v>
      </c>
      <c r="Z27" s="37">
        <v>90</v>
      </c>
    </row>
    <row r="28" spans="1:26" x14ac:dyDescent="0.25">
      <c r="J28" s="92" t="s">
        <v>25</v>
      </c>
      <c r="K28" s="92"/>
      <c r="L28" s="92"/>
      <c r="N28" s="22">
        <v>140</v>
      </c>
      <c r="X28" s="37" t="s">
        <v>51</v>
      </c>
      <c r="Y28" s="37" t="s">
        <v>58</v>
      </c>
      <c r="Z28" s="37">
        <v>8</v>
      </c>
    </row>
    <row r="29" spans="1:26" x14ac:dyDescent="0.25">
      <c r="J29" s="37" t="s">
        <v>26</v>
      </c>
      <c r="N29" s="37">
        <v>0.05</v>
      </c>
      <c r="X29" s="37" t="s">
        <v>77</v>
      </c>
      <c r="Y29" s="37" t="s">
        <v>59</v>
      </c>
      <c r="Z29" s="37">
        <v>380</v>
      </c>
    </row>
    <row r="30" spans="1:26" x14ac:dyDescent="0.25">
      <c r="J30" s="90" t="s">
        <v>28</v>
      </c>
      <c r="K30" s="90"/>
      <c r="N30" s="37">
        <f>M21</f>
        <v>13.200000000000001</v>
      </c>
      <c r="X30" s="37" t="s">
        <v>71</v>
      </c>
      <c r="Y30" s="37" t="s">
        <v>60</v>
      </c>
      <c r="Z30" s="37">
        <v>450</v>
      </c>
    </row>
    <row r="31" spans="1:26" x14ac:dyDescent="0.25">
      <c r="J31" s="90" t="s">
        <v>29</v>
      </c>
      <c r="K31" s="90"/>
      <c r="N31" s="37">
        <f>10.643*((N27/N28)^1.852)*(N30/(N29^4.87))</f>
        <v>0.18626155434165179</v>
      </c>
      <c r="X31" s="37" t="s">
        <v>52</v>
      </c>
      <c r="Y31" s="37" t="s">
        <v>60</v>
      </c>
      <c r="Z31" s="37">
        <v>450</v>
      </c>
    </row>
    <row r="32" spans="1:26" x14ac:dyDescent="0.25">
      <c r="X32" s="37" t="s">
        <v>53</v>
      </c>
      <c r="Y32" s="37" t="s">
        <v>59</v>
      </c>
      <c r="Z32" s="37">
        <v>10</v>
      </c>
    </row>
    <row r="33" spans="10:29" ht="15" customHeight="1" x14ac:dyDescent="0.25">
      <c r="X33" s="37" t="s">
        <v>54</v>
      </c>
      <c r="Y33" s="37" t="s">
        <v>58</v>
      </c>
      <c r="Z33" s="37">
        <v>140</v>
      </c>
    </row>
    <row r="34" spans="10:29" ht="15.75" x14ac:dyDescent="0.25">
      <c r="J34" s="87" t="s">
        <v>30</v>
      </c>
      <c r="K34" s="87"/>
      <c r="L34" s="87"/>
    </row>
    <row r="35" spans="10:29" ht="15.75" x14ac:dyDescent="0.25">
      <c r="X35" s="36" t="s">
        <v>63</v>
      </c>
      <c r="Y35" s="35"/>
      <c r="Z35" s="35"/>
    </row>
    <row r="36" spans="10:29" x14ac:dyDescent="0.25">
      <c r="Y36" s="37" t="s">
        <v>55</v>
      </c>
      <c r="Z36" s="37" t="s">
        <v>17</v>
      </c>
      <c r="AC36" s="37">
        <v>0.48</v>
      </c>
    </row>
    <row r="37" spans="10:29" x14ac:dyDescent="0.25">
      <c r="X37" s="31" t="s">
        <v>64</v>
      </c>
      <c r="Y37" s="37" t="s">
        <v>14</v>
      </c>
      <c r="Z37" s="37">
        <f>Z11</f>
        <v>9031</v>
      </c>
      <c r="AA37" s="37">
        <f>SUM(Z37:Z39)</f>
        <v>10792</v>
      </c>
    </row>
    <row r="38" spans="10:29" x14ac:dyDescent="0.25">
      <c r="X38" s="32" t="s">
        <v>79</v>
      </c>
      <c r="Y38" s="37" t="s">
        <v>14</v>
      </c>
      <c r="Z38" s="37">
        <f>Z12</f>
        <v>599</v>
      </c>
      <c r="AB38" s="37">
        <f>0.75*AA37</f>
        <v>8094</v>
      </c>
    </row>
    <row r="39" spans="10:29" x14ac:dyDescent="0.25">
      <c r="X39" s="32" t="s">
        <v>65</v>
      </c>
      <c r="Y39" s="37" t="s">
        <v>14</v>
      </c>
      <c r="Z39" s="37">
        <f>Z13</f>
        <v>1162</v>
      </c>
      <c r="AB39" s="37">
        <f>0.2*AA37</f>
        <v>2158.4</v>
      </c>
    </row>
    <row r="40" spans="10:29" x14ac:dyDescent="0.25">
      <c r="X40" s="33" t="s">
        <v>74</v>
      </c>
      <c r="Y40" s="33" t="s">
        <v>58</v>
      </c>
      <c r="Z40" s="37">
        <f>AB38*AC36</f>
        <v>3885.12</v>
      </c>
      <c r="AB40" s="37">
        <f>0.05*AA37</f>
        <v>539.6</v>
      </c>
    </row>
    <row r="41" spans="10:29" x14ac:dyDescent="0.25">
      <c r="X41" s="37" t="s">
        <v>70</v>
      </c>
      <c r="Y41" s="33" t="s">
        <v>58</v>
      </c>
      <c r="Z41" s="37">
        <f>AB39*AC36</f>
        <v>1036.0319999999999</v>
      </c>
    </row>
    <row r="42" spans="10:29" x14ac:dyDescent="0.25">
      <c r="K42" s="37" t="s">
        <v>31</v>
      </c>
      <c r="L42" s="37">
        <f>((10.643*((N27/N28)^1.852))/N8)^(1/4.87)</f>
        <v>4.3508084336167437E-2</v>
      </c>
      <c r="M42" s="37" t="s">
        <v>14</v>
      </c>
      <c r="X42" s="37" t="s">
        <v>75</v>
      </c>
      <c r="Y42" s="33" t="s">
        <v>58</v>
      </c>
      <c r="Z42" s="37">
        <f>AB40*AC36</f>
        <v>259.00799999999998</v>
      </c>
    </row>
    <row r="43" spans="10:29" ht="30" x14ac:dyDescent="0.25">
      <c r="X43" s="30" t="s">
        <v>72</v>
      </c>
      <c r="Y43" s="37" t="s">
        <v>56</v>
      </c>
      <c r="Z43" s="37">
        <v>1</v>
      </c>
    </row>
    <row r="44" spans="10:29" x14ac:dyDescent="0.25">
      <c r="X44" s="37" t="s">
        <v>66</v>
      </c>
      <c r="Y44" s="37" t="s">
        <v>69</v>
      </c>
      <c r="Z44" s="37">
        <v>300</v>
      </c>
    </row>
    <row r="45" spans="10:29" ht="15" customHeight="1" x14ac:dyDescent="0.25">
      <c r="J45" s="94" t="s">
        <v>32</v>
      </c>
      <c r="K45" s="94"/>
      <c r="L45" s="94"/>
      <c r="M45" s="94"/>
      <c r="N45" s="94"/>
      <c r="X45" s="37" t="s">
        <v>67</v>
      </c>
      <c r="Y45" s="37" t="s">
        <v>69</v>
      </c>
      <c r="Z45" s="37">
        <v>90</v>
      </c>
    </row>
    <row r="46" spans="10:29" ht="15" customHeight="1" x14ac:dyDescent="0.25">
      <c r="J46" s="94"/>
      <c r="K46" s="94"/>
      <c r="L46" s="94"/>
      <c r="M46" s="94"/>
      <c r="N46" s="94"/>
      <c r="X46" s="37" t="s">
        <v>68</v>
      </c>
      <c r="Y46" s="37" t="s">
        <v>69</v>
      </c>
      <c r="Z46" s="37">
        <v>400</v>
      </c>
    </row>
    <row r="47" spans="10:29" ht="15" customHeight="1" x14ac:dyDescent="0.25">
      <c r="J47" s="94"/>
      <c r="K47" s="94"/>
      <c r="L47" s="94"/>
      <c r="M47" s="94"/>
      <c r="N47" s="94"/>
    </row>
    <row r="50" spans="10:14" x14ac:dyDescent="0.25">
      <c r="J50" s="95" t="s">
        <v>33</v>
      </c>
      <c r="K50" s="95"/>
      <c r="L50" s="95"/>
      <c r="M50" s="95"/>
      <c r="N50" s="95"/>
    </row>
    <row r="51" spans="10:14" ht="15.75" x14ac:dyDescent="0.25">
      <c r="J51" s="11"/>
    </row>
    <row r="52" spans="10:14" ht="15.75" x14ac:dyDescent="0.25">
      <c r="J52" s="11"/>
    </row>
    <row r="53" spans="10:14" ht="15.75" x14ac:dyDescent="0.25">
      <c r="J53" s="11"/>
    </row>
    <row r="54" spans="10:14" ht="18" x14ac:dyDescent="0.25">
      <c r="J54" s="12" t="s">
        <v>34</v>
      </c>
    </row>
    <row r="55" spans="10:14" ht="15.75" x14ac:dyDescent="0.25">
      <c r="J55" s="11"/>
    </row>
    <row r="56" spans="10:14" x14ac:dyDescent="0.25">
      <c r="J56" s="13" t="s">
        <v>35</v>
      </c>
    </row>
    <row r="57" spans="10:14" x14ac:dyDescent="0.25">
      <c r="J57" s="13" t="s">
        <v>36</v>
      </c>
    </row>
    <row r="58" spans="10:14" x14ac:dyDescent="0.25">
      <c r="J58" s="96" t="s">
        <v>37</v>
      </c>
      <c r="K58" s="96"/>
      <c r="L58" s="96"/>
      <c r="M58" s="96"/>
      <c r="N58" s="96"/>
    </row>
    <row r="59" spans="10:14" x14ac:dyDescent="0.25">
      <c r="J59" s="93" t="s">
        <v>38</v>
      </c>
      <c r="K59" s="93"/>
      <c r="L59" s="93"/>
      <c r="M59" s="93"/>
      <c r="N59" s="93"/>
    </row>
    <row r="60" spans="10:14" x14ac:dyDescent="0.25">
      <c r="J60" s="14"/>
      <c r="K60" s="14"/>
      <c r="L60" s="14"/>
      <c r="M60" s="14"/>
      <c r="N60" s="14"/>
    </row>
    <row r="61" spans="10:14" x14ac:dyDescent="0.25">
      <c r="K61" s="15" t="s">
        <v>39</v>
      </c>
      <c r="L61" s="15">
        <v>0.5</v>
      </c>
      <c r="M61" s="15"/>
      <c r="N61" s="15"/>
    </row>
    <row r="62" spans="10:14" x14ac:dyDescent="0.25">
      <c r="K62" s="37" t="s">
        <v>40</v>
      </c>
      <c r="L62" s="37">
        <v>1.2</v>
      </c>
    </row>
    <row r="63" spans="10:14" x14ac:dyDescent="0.25">
      <c r="K63" s="37" t="s">
        <v>31</v>
      </c>
      <c r="L63" s="37">
        <f>L61^(1/4)*L62*(N27^0.5)</f>
        <v>3.8862741332161992E-2</v>
      </c>
    </row>
  </sheetData>
  <mergeCells count="24">
    <mergeCell ref="J9:M9"/>
    <mergeCell ref="R9:S9"/>
    <mergeCell ref="J59:N59"/>
    <mergeCell ref="J10:L10"/>
    <mergeCell ref="R10:T10"/>
    <mergeCell ref="R11:T11"/>
    <mergeCell ref="J13:P13"/>
    <mergeCell ref="J28:L28"/>
    <mergeCell ref="J30:K30"/>
    <mergeCell ref="J31:K31"/>
    <mergeCell ref="J34:L34"/>
    <mergeCell ref="J45:N47"/>
    <mergeCell ref="J50:N50"/>
    <mergeCell ref="J58:N58"/>
    <mergeCell ref="X1:Z1"/>
    <mergeCell ref="J3:N3"/>
    <mergeCell ref="R7:T7"/>
    <mergeCell ref="J8:L8"/>
    <mergeCell ref="R8:U8"/>
    <mergeCell ref="A2:B2"/>
    <mergeCell ref="A1:C1"/>
    <mergeCell ref="E1:H1"/>
    <mergeCell ref="J1:O1"/>
    <mergeCell ref="R1:U1"/>
  </mergeCells>
  <pageMargins left="0.511811024" right="0.511811024" top="0.78740157499999996" bottom="0.78740157499999996" header="0.31496062000000002" footer="0.31496062000000002"/>
  <drawing r:id="rId1"/>
  <legacyDrawing r:id="rId2"/>
  <oleObjects>
    <mc:AlternateContent xmlns:mc="http://schemas.openxmlformats.org/markup-compatibility/2006">
      <mc:Choice Requires="x14">
        <oleObject progId="Equation.3" shapeId="10241" r:id="rId3">
          <objectPr defaultSize="0" autoPict="0" r:id="rId4">
            <anchor moveWithCells="1">
              <from>
                <xdr:col>4</xdr:col>
                <xdr:colOff>304800</xdr:colOff>
                <xdr:row>1</xdr:row>
                <xdr:rowOff>57150</xdr:rowOff>
              </from>
              <to>
                <xdr:col>7</xdr:col>
                <xdr:colOff>200025</xdr:colOff>
                <xdr:row>3</xdr:row>
                <xdr:rowOff>171450</xdr:rowOff>
              </to>
            </anchor>
          </objectPr>
        </oleObject>
      </mc:Choice>
      <mc:Fallback>
        <oleObject progId="Equation.3" shapeId="10241" r:id="rId3"/>
      </mc:Fallback>
    </mc:AlternateContent>
    <mc:AlternateContent xmlns:mc="http://schemas.openxmlformats.org/markup-compatibility/2006">
      <mc:Choice Requires="x14">
        <oleObject progId="Equation.3" shapeId="10242" r:id="rId5">
          <objectPr defaultSize="0" autoPict="0" r:id="rId4">
            <anchor moveWithCells="1">
              <from>
                <xdr:col>4</xdr:col>
                <xdr:colOff>304800</xdr:colOff>
                <xdr:row>1</xdr:row>
                <xdr:rowOff>57150</xdr:rowOff>
              </from>
              <to>
                <xdr:col>7</xdr:col>
                <xdr:colOff>200025</xdr:colOff>
                <xdr:row>4</xdr:row>
                <xdr:rowOff>47625</xdr:rowOff>
              </to>
            </anchor>
          </objectPr>
        </oleObject>
      </mc:Choice>
      <mc:Fallback>
        <oleObject progId="Equation.3" shapeId="10242" r:id="rId5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C63"/>
  <sheetViews>
    <sheetView topLeftCell="Q10" workbookViewId="0">
      <selection activeCell="T17" sqref="A1:XFD1048576"/>
    </sheetView>
  </sheetViews>
  <sheetFormatPr defaultRowHeight="15" x14ac:dyDescent="0.25"/>
  <cols>
    <col min="1" max="1" width="9.140625" style="45" customWidth="1"/>
    <col min="2" max="9" width="9.140625" style="45"/>
    <col min="10" max="10" width="18.85546875" style="45" bestFit="1" customWidth="1"/>
    <col min="11" max="11" width="11.5703125" style="45" customWidth="1"/>
    <col min="12" max="12" width="9.140625" style="45"/>
    <col min="13" max="13" width="9.140625" style="45" customWidth="1"/>
    <col min="14" max="14" width="9.5703125" style="45" bestFit="1" customWidth="1"/>
    <col min="15" max="23" width="9.140625" style="45"/>
    <col min="24" max="24" width="78.85546875" style="45" customWidth="1"/>
    <col min="25" max="16384" width="9.140625" style="45"/>
  </cols>
  <sheetData>
    <row r="1" spans="1:26" ht="15.75" x14ac:dyDescent="0.25">
      <c r="A1" s="85" t="s">
        <v>2</v>
      </c>
      <c r="B1" s="86"/>
      <c r="C1" s="86"/>
      <c r="D1" s="5"/>
      <c r="E1" s="87" t="s">
        <v>3</v>
      </c>
      <c r="F1" s="87"/>
      <c r="G1" s="87"/>
      <c r="H1" s="88"/>
      <c r="J1" s="87" t="s">
        <v>8</v>
      </c>
      <c r="K1" s="87"/>
      <c r="L1" s="87"/>
      <c r="M1" s="87"/>
      <c r="N1" s="87"/>
      <c r="O1" s="87"/>
      <c r="R1" s="89" t="s">
        <v>41</v>
      </c>
      <c r="S1" s="89"/>
      <c r="T1" s="89"/>
      <c r="U1" s="89"/>
      <c r="X1" s="87" t="s">
        <v>61</v>
      </c>
      <c r="Y1" s="87"/>
      <c r="Z1" s="87"/>
    </row>
    <row r="2" spans="1:26" x14ac:dyDescent="0.25">
      <c r="A2" s="83" t="s">
        <v>97</v>
      </c>
      <c r="B2" s="90"/>
    </row>
    <row r="3" spans="1:26" ht="15.75" x14ac:dyDescent="0.25">
      <c r="A3" s="1" t="s">
        <v>0</v>
      </c>
      <c r="B3" s="2" t="s">
        <v>1</v>
      </c>
      <c r="J3" s="87" t="s">
        <v>9</v>
      </c>
      <c r="K3" s="87"/>
      <c r="L3" s="87"/>
      <c r="M3" s="87"/>
      <c r="N3" s="87"/>
      <c r="X3" s="44" t="s">
        <v>62</v>
      </c>
    </row>
    <row r="4" spans="1:26" x14ac:dyDescent="0.25">
      <c r="A4" s="1">
        <v>0</v>
      </c>
      <c r="B4" s="34">
        <v>0</v>
      </c>
    </row>
    <row r="5" spans="1:26" x14ac:dyDescent="0.25">
      <c r="A5" s="1">
        <v>1</v>
      </c>
      <c r="B5" s="3">
        <f>B4*1.05</f>
        <v>0</v>
      </c>
      <c r="X5" s="45" t="s">
        <v>49</v>
      </c>
      <c r="Y5" s="45" t="s">
        <v>55</v>
      </c>
      <c r="Z5" s="45" t="s">
        <v>17</v>
      </c>
    </row>
    <row r="6" spans="1:26" x14ac:dyDescent="0.25">
      <c r="A6" s="1">
        <v>2</v>
      </c>
      <c r="B6" s="3">
        <f t="shared" ref="B6:B24" si="0">B5*1.05</f>
        <v>0</v>
      </c>
      <c r="E6" s="45" t="s">
        <v>4</v>
      </c>
      <c r="F6" s="45" t="s">
        <v>5</v>
      </c>
      <c r="G6" s="45" t="s">
        <v>6</v>
      </c>
      <c r="H6" s="45" t="s">
        <v>7</v>
      </c>
    </row>
    <row r="7" spans="1:26" x14ac:dyDescent="0.25">
      <c r="A7" s="1">
        <v>3</v>
      </c>
      <c r="B7" s="3">
        <f t="shared" si="0"/>
        <v>0</v>
      </c>
      <c r="E7" s="45">
        <v>1.2</v>
      </c>
      <c r="F7" s="45">
        <v>200</v>
      </c>
      <c r="G7" s="23">
        <f>B24</f>
        <v>0</v>
      </c>
      <c r="H7" s="22">
        <f>(E7*F7*G7)/86400</f>
        <v>0</v>
      </c>
      <c r="R7" s="90" t="s">
        <v>42</v>
      </c>
      <c r="S7" s="90"/>
      <c r="T7" s="90"/>
      <c r="X7" s="45" t="s">
        <v>20</v>
      </c>
      <c r="Y7" s="45" t="s">
        <v>56</v>
      </c>
      <c r="Z7" s="45">
        <v>2</v>
      </c>
    </row>
    <row r="8" spans="1:26" x14ac:dyDescent="0.25">
      <c r="A8" s="1">
        <v>4</v>
      </c>
      <c r="B8" s="3">
        <f t="shared" si="0"/>
        <v>0</v>
      </c>
      <c r="H8" s="45">
        <f>H7*1.75</f>
        <v>0</v>
      </c>
      <c r="J8" s="90" t="s">
        <v>10</v>
      </c>
      <c r="K8" s="90"/>
      <c r="L8" s="90"/>
      <c r="N8" s="6">
        <f>N9/N10</f>
        <v>0.1101511879049676</v>
      </c>
      <c r="O8" s="45" t="s">
        <v>13</v>
      </c>
      <c r="R8" s="90" t="s">
        <v>43</v>
      </c>
      <c r="S8" s="90"/>
      <c r="T8" s="90"/>
      <c r="U8" s="90"/>
      <c r="V8" s="45">
        <f xml:space="preserve"> 1000</f>
        <v>1000</v>
      </c>
      <c r="X8" s="45" t="s">
        <v>21</v>
      </c>
      <c r="Y8" s="45" t="s">
        <v>56</v>
      </c>
      <c r="Z8" s="45">
        <v>1</v>
      </c>
    </row>
    <row r="9" spans="1:26" x14ac:dyDescent="0.25">
      <c r="A9" s="1">
        <v>5</v>
      </c>
      <c r="B9" s="3">
        <f t="shared" si="0"/>
        <v>0</v>
      </c>
      <c r="J9" s="90" t="s">
        <v>11</v>
      </c>
      <c r="K9" s="90"/>
      <c r="L9" s="90"/>
      <c r="M9" s="90"/>
      <c r="N9" s="21">
        <v>51</v>
      </c>
      <c r="O9" s="45" t="s">
        <v>14</v>
      </c>
      <c r="R9" s="90" t="s">
        <v>44</v>
      </c>
      <c r="S9" s="90"/>
      <c r="X9" s="45" t="s">
        <v>91</v>
      </c>
      <c r="Y9" s="45" t="s">
        <v>56</v>
      </c>
      <c r="Z9" s="45">
        <v>4</v>
      </c>
    </row>
    <row r="10" spans="1:26" x14ac:dyDescent="0.25">
      <c r="A10" s="1">
        <v>6</v>
      </c>
      <c r="B10" s="3">
        <f t="shared" si="0"/>
        <v>0</v>
      </c>
      <c r="J10" s="90" t="s">
        <v>12</v>
      </c>
      <c r="K10" s="90"/>
      <c r="L10" s="90"/>
      <c r="N10" s="21">
        <v>463</v>
      </c>
      <c r="O10" s="45" t="s">
        <v>14</v>
      </c>
      <c r="R10" s="90" t="s">
        <v>45</v>
      </c>
      <c r="S10" s="90"/>
      <c r="T10" s="90"/>
      <c r="X10" s="45" t="s">
        <v>90</v>
      </c>
      <c r="Y10" s="45" t="s">
        <v>56</v>
      </c>
      <c r="Z10" s="45">
        <v>5</v>
      </c>
    </row>
    <row r="11" spans="1:26" x14ac:dyDescent="0.25">
      <c r="A11" s="1">
        <v>7</v>
      </c>
      <c r="B11" s="3">
        <f t="shared" si="0"/>
        <v>0</v>
      </c>
      <c r="D11" s="45">
        <f>0*5</f>
        <v>0</v>
      </c>
      <c r="R11" s="91" t="s">
        <v>48</v>
      </c>
      <c r="S11" s="91"/>
      <c r="T11" s="91"/>
      <c r="V11" s="16">
        <v>0.7</v>
      </c>
      <c r="X11" s="45" t="s">
        <v>80</v>
      </c>
      <c r="Y11" s="45" t="s">
        <v>14</v>
      </c>
      <c r="Z11" s="45">
        <v>463</v>
      </c>
    </row>
    <row r="12" spans="1:26" x14ac:dyDescent="0.25">
      <c r="A12" s="1">
        <v>8</v>
      </c>
      <c r="B12" s="3">
        <f t="shared" si="0"/>
        <v>0</v>
      </c>
      <c r="R12" s="45" t="s">
        <v>46</v>
      </c>
      <c r="S12" s="45">
        <f>V8*N27*(N9+M21)/(75*0.7)</f>
        <v>0</v>
      </c>
      <c r="T12" s="45" t="s">
        <v>47</v>
      </c>
      <c r="X12" s="25" t="s">
        <v>89</v>
      </c>
      <c r="Y12" s="45" t="s">
        <v>56</v>
      </c>
      <c r="Z12" s="27">
        <v>1</v>
      </c>
    </row>
    <row r="13" spans="1:26" ht="15.75" x14ac:dyDescent="0.25">
      <c r="A13" s="1">
        <v>9</v>
      </c>
      <c r="B13" s="3">
        <f t="shared" si="0"/>
        <v>0</v>
      </c>
      <c r="J13" s="87" t="s">
        <v>15</v>
      </c>
      <c r="K13" s="87"/>
      <c r="L13" s="87"/>
      <c r="M13" s="87"/>
      <c r="N13" s="87"/>
      <c r="O13" s="87"/>
      <c r="P13" s="87"/>
      <c r="Q13" s="10"/>
      <c r="X13" s="26" t="s">
        <v>84</v>
      </c>
      <c r="Y13" s="45" t="s">
        <v>56</v>
      </c>
      <c r="Z13" s="27">
        <v>2</v>
      </c>
    </row>
    <row r="14" spans="1:26" x14ac:dyDescent="0.25">
      <c r="A14" s="1">
        <v>10</v>
      </c>
      <c r="B14" s="3">
        <f t="shared" si="0"/>
        <v>0</v>
      </c>
      <c r="X14" s="28" t="s">
        <v>73</v>
      </c>
      <c r="Y14" s="45" t="s">
        <v>56</v>
      </c>
      <c r="Z14" s="39">
        <v>1</v>
      </c>
    </row>
    <row r="15" spans="1:26" ht="15" customHeight="1" x14ac:dyDescent="0.25">
      <c r="A15" s="1">
        <v>11</v>
      </c>
      <c r="B15" s="3">
        <f t="shared" si="0"/>
        <v>0</v>
      </c>
      <c r="J15" s="7" t="s">
        <v>16</v>
      </c>
      <c r="K15" s="7" t="s">
        <v>17</v>
      </c>
      <c r="L15" s="7" t="s">
        <v>18</v>
      </c>
      <c r="M15" s="8" t="s">
        <v>19</v>
      </c>
      <c r="X15" s="45" t="s">
        <v>76</v>
      </c>
      <c r="Y15" s="45" t="s">
        <v>56</v>
      </c>
      <c r="Z15" s="29">
        <v>1</v>
      </c>
    </row>
    <row r="16" spans="1:26" ht="15" customHeight="1" x14ac:dyDescent="0.25">
      <c r="A16" s="1">
        <v>12</v>
      </c>
      <c r="B16" s="3">
        <f t="shared" si="0"/>
        <v>0</v>
      </c>
      <c r="J16" s="7" t="s">
        <v>20</v>
      </c>
      <c r="K16" s="19">
        <v>1</v>
      </c>
      <c r="L16" s="19">
        <v>0.4</v>
      </c>
      <c r="M16" s="19">
        <f>L16*K16</f>
        <v>0.4</v>
      </c>
      <c r="X16" s="44" t="s">
        <v>78</v>
      </c>
      <c r="Y16" s="44"/>
      <c r="Z16" s="44"/>
    </row>
    <row r="17" spans="1:29" x14ac:dyDescent="0.25">
      <c r="A17" s="1">
        <v>13</v>
      </c>
      <c r="B17" s="3">
        <f t="shared" si="0"/>
        <v>0</v>
      </c>
      <c r="J17" s="7" t="s">
        <v>21</v>
      </c>
      <c r="K17" s="19">
        <v>1</v>
      </c>
      <c r="L17" s="19">
        <v>6.4</v>
      </c>
      <c r="M17" s="19">
        <f t="shared" ref="M17:M19" si="1">L17*K17</f>
        <v>6.4</v>
      </c>
      <c r="X17" s="45" t="s">
        <v>49</v>
      </c>
      <c r="Y17" s="45" t="s">
        <v>55</v>
      </c>
      <c r="Z17" s="45" t="s">
        <v>17</v>
      </c>
    </row>
    <row r="18" spans="1:29" x14ac:dyDescent="0.25">
      <c r="A18" s="1">
        <v>14</v>
      </c>
      <c r="B18" s="3">
        <f t="shared" si="0"/>
        <v>0</v>
      </c>
      <c r="J18" s="7" t="s">
        <v>22</v>
      </c>
      <c r="K18" s="19">
        <v>4</v>
      </c>
      <c r="L18" s="19">
        <v>1.1000000000000001</v>
      </c>
      <c r="M18" s="19">
        <f t="shared" si="1"/>
        <v>4.4000000000000004</v>
      </c>
    </row>
    <row r="19" spans="1:29" x14ac:dyDescent="0.25">
      <c r="A19" s="1">
        <v>15</v>
      </c>
      <c r="B19" s="3">
        <f t="shared" si="0"/>
        <v>0</v>
      </c>
      <c r="J19" s="7" t="s">
        <v>23</v>
      </c>
      <c r="K19" s="19">
        <v>5</v>
      </c>
      <c r="L19" s="19">
        <v>0.4</v>
      </c>
      <c r="M19" s="19">
        <f t="shared" si="1"/>
        <v>2</v>
      </c>
      <c r="X19" s="45" t="s">
        <v>50</v>
      </c>
      <c r="Y19" s="45" t="s">
        <v>57</v>
      </c>
      <c r="Z19" s="45">
        <v>90</v>
      </c>
    </row>
    <row r="20" spans="1:29" x14ac:dyDescent="0.25">
      <c r="A20" s="1">
        <v>16</v>
      </c>
      <c r="B20" s="3">
        <f t="shared" si="0"/>
        <v>0</v>
      </c>
      <c r="J20" s="18"/>
      <c r="K20" s="20"/>
      <c r="L20" s="19"/>
      <c r="M20" s="19"/>
      <c r="X20" s="45" t="s">
        <v>51</v>
      </c>
      <c r="Y20" s="45" t="s">
        <v>58</v>
      </c>
      <c r="Z20" s="45">
        <v>8</v>
      </c>
    </row>
    <row r="21" spans="1:29" x14ac:dyDescent="0.25">
      <c r="A21" s="1">
        <v>17</v>
      </c>
      <c r="B21" s="3">
        <f t="shared" si="0"/>
        <v>0</v>
      </c>
      <c r="L21" s="9" t="s">
        <v>24</v>
      </c>
      <c r="M21" s="45">
        <f>SUM(M16:M20)</f>
        <v>13.200000000000001</v>
      </c>
      <c r="X21" s="45" t="s">
        <v>77</v>
      </c>
      <c r="Y21" s="45" t="s">
        <v>59</v>
      </c>
      <c r="Z21" s="45">
        <v>380</v>
      </c>
    </row>
    <row r="22" spans="1:29" x14ac:dyDescent="0.25">
      <c r="A22" s="1">
        <v>18</v>
      </c>
      <c r="B22" s="3">
        <f t="shared" si="0"/>
        <v>0</v>
      </c>
      <c r="X22" s="45" t="s">
        <v>71</v>
      </c>
      <c r="Y22" s="45" t="s">
        <v>60</v>
      </c>
      <c r="Z22" s="45">
        <v>450</v>
      </c>
    </row>
    <row r="23" spans="1:29" x14ac:dyDescent="0.25">
      <c r="A23" s="1">
        <v>19</v>
      </c>
      <c r="B23" s="3">
        <f t="shared" si="0"/>
        <v>0</v>
      </c>
      <c r="X23" s="45" t="s">
        <v>52</v>
      </c>
      <c r="Y23" s="45" t="s">
        <v>60</v>
      </c>
      <c r="Z23" s="45">
        <v>450</v>
      </c>
    </row>
    <row r="24" spans="1:29" x14ac:dyDescent="0.25">
      <c r="A24" s="4">
        <v>20</v>
      </c>
      <c r="B24" s="17">
        <f t="shared" si="0"/>
        <v>0</v>
      </c>
      <c r="X24" s="45" t="s">
        <v>53</v>
      </c>
      <c r="Y24" s="45" t="s">
        <v>59</v>
      </c>
      <c r="Z24" s="45">
        <v>10</v>
      </c>
    </row>
    <row r="25" spans="1:29" x14ac:dyDescent="0.25">
      <c r="X25" s="45" t="s">
        <v>54</v>
      </c>
      <c r="Y25" s="45" t="s">
        <v>58</v>
      </c>
      <c r="Z25" s="45">
        <v>140</v>
      </c>
    </row>
    <row r="26" spans="1:29" ht="15.75" x14ac:dyDescent="0.25">
      <c r="X26" s="43" t="s">
        <v>63</v>
      </c>
      <c r="Y26" s="35"/>
      <c r="Z26" s="35"/>
    </row>
    <row r="27" spans="1:29" x14ac:dyDescent="0.25">
      <c r="J27" s="45" t="s">
        <v>27</v>
      </c>
      <c r="N27" s="22">
        <f>H8/1000</f>
        <v>0</v>
      </c>
      <c r="Y27" s="45" t="s">
        <v>55</v>
      </c>
      <c r="Z27" s="45" t="s">
        <v>17</v>
      </c>
      <c r="AC27" s="45">
        <v>0.48</v>
      </c>
    </row>
    <row r="28" spans="1:29" x14ac:dyDescent="0.25">
      <c r="J28" s="92" t="s">
        <v>25</v>
      </c>
      <c r="K28" s="92"/>
      <c r="L28" s="92"/>
      <c r="N28" s="22">
        <v>140</v>
      </c>
      <c r="X28" s="31" t="s">
        <v>64</v>
      </c>
      <c r="Y28" s="45" t="s">
        <v>14</v>
      </c>
      <c r="Z28" s="45">
        <f>Z11</f>
        <v>463</v>
      </c>
      <c r="AA28" s="45">
        <f>Z28</f>
        <v>463</v>
      </c>
    </row>
    <row r="29" spans="1:29" x14ac:dyDescent="0.25">
      <c r="J29" s="45" t="s">
        <v>26</v>
      </c>
      <c r="N29" s="45">
        <v>0.05</v>
      </c>
      <c r="X29" s="33" t="s">
        <v>74</v>
      </c>
      <c r="Y29" s="33" t="s">
        <v>58</v>
      </c>
      <c r="Z29" s="45">
        <f>AA29*AC27</f>
        <v>166.68</v>
      </c>
      <c r="AA29" s="45">
        <f>0.75*AA28</f>
        <v>347.25</v>
      </c>
    </row>
    <row r="30" spans="1:29" x14ac:dyDescent="0.25">
      <c r="J30" s="90" t="s">
        <v>28</v>
      </c>
      <c r="K30" s="90"/>
      <c r="N30" s="45">
        <f>M21</f>
        <v>13.200000000000001</v>
      </c>
      <c r="X30" s="45" t="s">
        <v>70</v>
      </c>
      <c r="Y30" s="33" t="s">
        <v>58</v>
      </c>
      <c r="Z30" s="45">
        <f>AA30*AC27</f>
        <v>44.448</v>
      </c>
      <c r="AA30" s="45">
        <f>0.2*AA28</f>
        <v>92.600000000000009</v>
      </c>
    </row>
    <row r="31" spans="1:29" x14ac:dyDescent="0.25">
      <c r="J31" s="90" t="s">
        <v>29</v>
      </c>
      <c r="K31" s="90"/>
      <c r="N31" s="45">
        <f>10.643*((N27/N28)^1.852)*(N30/(N29^4.87))</f>
        <v>0</v>
      </c>
      <c r="X31" s="45" t="s">
        <v>75</v>
      </c>
      <c r="Y31" s="33" t="s">
        <v>58</v>
      </c>
      <c r="Z31" s="45">
        <f>AA31*AC27</f>
        <v>11.112</v>
      </c>
      <c r="AA31" s="45">
        <f>0.05*AA28</f>
        <v>23.150000000000002</v>
      </c>
    </row>
    <row r="32" spans="1:29" ht="30" x14ac:dyDescent="0.25">
      <c r="X32" s="30" t="s">
        <v>72</v>
      </c>
      <c r="Y32" s="45" t="s">
        <v>56</v>
      </c>
      <c r="Z32" s="45">
        <v>1</v>
      </c>
    </row>
    <row r="33" spans="10:26" x14ac:dyDescent="0.25">
      <c r="X33" s="45" t="s">
        <v>66</v>
      </c>
      <c r="Y33" s="45" t="s">
        <v>69</v>
      </c>
      <c r="Z33" s="45">
        <v>300</v>
      </c>
    </row>
    <row r="34" spans="10:26" ht="15.75" x14ac:dyDescent="0.25">
      <c r="J34" s="87" t="s">
        <v>30</v>
      </c>
      <c r="K34" s="87"/>
      <c r="L34" s="87"/>
      <c r="X34" s="45" t="s">
        <v>67</v>
      </c>
      <c r="Y34" s="45" t="s">
        <v>69</v>
      </c>
      <c r="Z34" s="45">
        <v>90</v>
      </c>
    </row>
    <row r="35" spans="10:26" x14ac:dyDescent="0.25">
      <c r="X35" s="45" t="s">
        <v>68</v>
      </c>
      <c r="Y35" s="45" t="s">
        <v>69</v>
      </c>
      <c r="Z35" s="45">
        <v>400</v>
      </c>
    </row>
    <row r="42" spans="10:26" x14ac:dyDescent="0.25">
      <c r="K42" s="45" t="s">
        <v>31</v>
      </c>
      <c r="L42" s="45">
        <f>((10.643*((N27/N28)^1.852))/N8)^(1/4.87)</f>
        <v>0</v>
      </c>
      <c r="M42" s="45" t="s">
        <v>14</v>
      </c>
    </row>
    <row r="45" spans="10:26" x14ac:dyDescent="0.25">
      <c r="J45" s="94" t="s">
        <v>32</v>
      </c>
      <c r="K45" s="94"/>
      <c r="L45" s="94"/>
      <c r="M45" s="94"/>
      <c r="N45" s="94"/>
    </row>
    <row r="46" spans="10:26" x14ac:dyDescent="0.25">
      <c r="J46" s="94"/>
      <c r="K46" s="94"/>
      <c r="L46" s="94"/>
      <c r="M46" s="94"/>
      <c r="N46" s="94"/>
    </row>
    <row r="47" spans="10:26" x14ac:dyDescent="0.25">
      <c r="J47" s="94"/>
      <c r="K47" s="94"/>
      <c r="L47" s="94"/>
      <c r="M47" s="94"/>
      <c r="N47" s="94"/>
    </row>
    <row r="50" spans="10:14" x14ac:dyDescent="0.25">
      <c r="J50" s="95" t="s">
        <v>33</v>
      </c>
      <c r="K50" s="95"/>
      <c r="L50" s="95"/>
      <c r="M50" s="95"/>
      <c r="N50" s="95"/>
    </row>
    <row r="51" spans="10:14" ht="15.75" x14ac:dyDescent="0.25">
      <c r="J51" s="11"/>
    </row>
    <row r="52" spans="10:14" ht="15.75" x14ac:dyDescent="0.25">
      <c r="J52" s="11"/>
    </row>
    <row r="53" spans="10:14" ht="15.75" x14ac:dyDescent="0.25">
      <c r="J53" s="11"/>
    </row>
    <row r="54" spans="10:14" ht="18" x14ac:dyDescent="0.25">
      <c r="J54" s="12" t="s">
        <v>34</v>
      </c>
    </row>
    <row r="55" spans="10:14" ht="15.75" x14ac:dyDescent="0.25">
      <c r="J55" s="11"/>
    </row>
    <row r="56" spans="10:14" x14ac:dyDescent="0.25">
      <c r="J56" s="13" t="s">
        <v>35</v>
      </c>
    </row>
    <row r="57" spans="10:14" x14ac:dyDescent="0.25">
      <c r="J57" s="13" t="s">
        <v>36</v>
      </c>
    </row>
    <row r="58" spans="10:14" x14ac:dyDescent="0.25">
      <c r="J58" s="96" t="s">
        <v>37</v>
      </c>
      <c r="K58" s="96"/>
      <c r="L58" s="96"/>
      <c r="M58" s="96"/>
      <c r="N58" s="96"/>
    </row>
    <row r="59" spans="10:14" x14ac:dyDescent="0.25">
      <c r="J59" s="93" t="s">
        <v>38</v>
      </c>
      <c r="K59" s="93"/>
      <c r="L59" s="93"/>
      <c r="M59" s="93"/>
      <c r="N59" s="93"/>
    </row>
    <row r="60" spans="10:14" x14ac:dyDescent="0.25">
      <c r="J60" s="14"/>
      <c r="K60" s="14"/>
      <c r="L60" s="14"/>
      <c r="M60" s="14"/>
      <c r="N60" s="14"/>
    </row>
    <row r="61" spans="10:14" x14ac:dyDescent="0.25">
      <c r="K61" s="15" t="s">
        <v>39</v>
      </c>
      <c r="L61" s="15">
        <v>0.5</v>
      </c>
      <c r="M61" s="15"/>
      <c r="N61" s="15"/>
    </row>
    <row r="62" spans="10:14" x14ac:dyDescent="0.25">
      <c r="K62" s="45" t="s">
        <v>40</v>
      </c>
      <c r="L62" s="45">
        <v>1.2</v>
      </c>
    </row>
    <row r="63" spans="10:14" x14ac:dyDescent="0.25">
      <c r="K63" s="45" t="s">
        <v>31</v>
      </c>
      <c r="L63" s="45">
        <f>L61^(1/4)*L62*(N27^0.5)</f>
        <v>0</v>
      </c>
    </row>
  </sheetData>
  <mergeCells count="24">
    <mergeCell ref="A2:B2"/>
    <mergeCell ref="A1:C1"/>
    <mergeCell ref="E1:H1"/>
    <mergeCell ref="J1:O1"/>
    <mergeCell ref="R1:U1"/>
    <mergeCell ref="X1:Z1"/>
    <mergeCell ref="J3:N3"/>
    <mergeCell ref="R7:T7"/>
    <mergeCell ref="J8:L8"/>
    <mergeCell ref="R8:U8"/>
    <mergeCell ref="J9:M9"/>
    <mergeCell ref="R9:S9"/>
    <mergeCell ref="J59:N59"/>
    <mergeCell ref="J10:L10"/>
    <mergeCell ref="R10:T10"/>
    <mergeCell ref="R11:T11"/>
    <mergeCell ref="J13:P13"/>
    <mergeCell ref="J28:L28"/>
    <mergeCell ref="J30:K30"/>
    <mergeCell ref="J31:K31"/>
    <mergeCell ref="J34:L34"/>
    <mergeCell ref="J45:N47"/>
    <mergeCell ref="J50:N50"/>
    <mergeCell ref="J58:N58"/>
  </mergeCells>
  <pageMargins left="0.511811024" right="0.511811024" top="0.78740157499999996" bottom="0.78740157499999996" header="0.31496062000000002" footer="0.31496062000000002"/>
  <drawing r:id="rId1"/>
  <legacyDrawing r:id="rId2"/>
  <oleObjects>
    <mc:AlternateContent xmlns:mc="http://schemas.openxmlformats.org/markup-compatibility/2006">
      <mc:Choice Requires="x14">
        <oleObject progId="Equation.3" shapeId="12289" r:id="rId3">
          <objectPr defaultSize="0" autoPict="0" r:id="rId4">
            <anchor moveWithCells="1">
              <from>
                <xdr:col>4</xdr:col>
                <xdr:colOff>304800</xdr:colOff>
                <xdr:row>1</xdr:row>
                <xdr:rowOff>57150</xdr:rowOff>
              </from>
              <to>
                <xdr:col>7</xdr:col>
                <xdr:colOff>200025</xdr:colOff>
                <xdr:row>4</xdr:row>
                <xdr:rowOff>9525</xdr:rowOff>
              </to>
            </anchor>
          </objectPr>
        </oleObject>
      </mc:Choice>
      <mc:Fallback>
        <oleObject progId="Equation.3" shapeId="12289" r:id="rId3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C63"/>
  <sheetViews>
    <sheetView topLeftCell="Q1" workbookViewId="0">
      <selection activeCell="X7" sqref="X7:Z22"/>
    </sheetView>
  </sheetViews>
  <sheetFormatPr defaultRowHeight="15" x14ac:dyDescent="0.25"/>
  <cols>
    <col min="1" max="1" width="9.140625" style="40" customWidth="1"/>
    <col min="2" max="9" width="9.140625" style="40"/>
    <col min="10" max="10" width="18.85546875" style="40" bestFit="1" customWidth="1"/>
    <col min="11" max="11" width="11.5703125" style="40" customWidth="1"/>
    <col min="12" max="12" width="9.140625" style="40"/>
    <col min="13" max="13" width="9.140625" style="40" customWidth="1"/>
    <col min="14" max="14" width="9.5703125" style="40" bestFit="1" customWidth="1"/>
    <col min="15" max="23" width="9.140625" style="40"/>
    <col min="24" max="24" width="75.28515625" style="40" bestFit="1" customWidth="1"/>
    <col min="25" max="25" width="9.140625" style="40"/>
    <col min="26" max="26" width="11.28515625" style="40" customWidth="1"/>
    <col min="27" max="28" width="9" style="40" hidden="1" customWidth="1"/>
    <col min="29" max="29" width="9.140625" style="40" hidden="1" customWidth="1"/>
    <col min="30" max="16384" width="9.140625" style="40"/>
  </cols>
  <sheetData>
    <row r="1" spans="1:26" ht="15.75" x14ac:dyDescent="0.25">
      <c r="A1" s="85" t="s">
        <v>2</v>
      </c>
      <c r="B1" s="86"/>
      <c r="C1" s="86"/>
      <c r="D1" s="5"/>
      <c r="E1" s="87" t="s">
        <v>3</v>
      </c>
      <c r="F1" s="87"/>
      <c r="G1" s="87"/>
      <c r="H1" s="88"/>
      <c r="J1" s="87" t="s">
        <v>8</v>
      </c>
      <c r="K1" s="87"/>
      <c r="L1" s="87"/>
      <c r="M1" s="87"/>
      <c r="N1" s="87"/>
      <c r="O1" s="87"/>
      <c r="R1" s="89" t="s">
        <v>41</v>
      </c>
      <c r="S1" s="89"/>
      <c r="T1" s="89"/>
      <c r="U1" s="89"/>
      <c r="X1" s="87" t="s">
        <v>61</v>
      </c>
      <c r="Y1" s="87"/>
      <c r="Z1" s="87"/>
    </row>
    <row r="2" spans="1:26" x14ac:dyDescent="0.25">
      <c r="A2" s="83" t="s">
        <v>96</v>
      </c>
      <c r="B2" s="84"/>
    </row>
    <row r="3" spans="1:26" ht="15.75" x14ac:dyDescent="0.25">
      <c r="A3" s="1" t="s">
        <v>0</v>
      </c>
      <c r="B3" s="2" t="s">
        <v>1</v>
      </c>
      <c r="J3" s="87" t="s">
        <v>9</v>
      </c>
      <c r="K3" s="87"/>
      <c r="L3" s="87"/>
      <c r="M3" s="87"/>
      <c r="N3" s="87"/>
      <c r="X3" s="42" t="s">
        <v>62</v>
      </c>
    </row>
    <row r="4" spans="1:26" x14ac:dyDescent="0.25">
      <c r="A4" s="1">
        <v>0</v>
      </c>
      <c r="B4" s="34">
        <v>110</v>
      </c>
    </row>
    <row r="5" spans="1:26" x14ac:dyDescent="0.25">
      <c r="A5" s="1">
        <v>1</v>
      </c>
      <c r="B5" s="3">
        <f>B4*1.05</f>
        <v>115.5</v>
      </c>
      <c r="X5" s="40" t="s">
        <v>49</v>
      </c>
      <c r="Y5" s="40" t="s">
        <v>55</v>
      </c>
      <c r="Z5" s="40" t="s">
        <v>17</v>
      </c>
    </row>
    <row r="6" spans="1:26" x14ac:dyDescent="0.25">
      <c r="A6" s="1">
        <v>2</v>
      </c>
      <c r="B6" s="3">
        <f t="shared" ref="B6:B24" si="0">B5*1.05</f>
        <v>121.27500000000001</v>
      </c>
      <c r="E6" s="40" t="s">
        <v>4</v>
      </c>
      <c r="F6" s="40" t="s">
        <v>5</v>
      </c>
      <c r="G6" s="40" t="s">
        <v>6</v>
      </c>
      <c r="H6" s="40" t="s">
        <v>7</v>
      </c>
    </row>
    <row r="7" spans="1:26" x14ac:dyDescent="0.25">
      <c r="A7" s="1">
        <v>3</v>
      </c>
      <c r="B7" s="3">
        <f t="shared" si="0"/>
        <v>127.33875</v>
      </c>
      <c r="E7" s="40">
        <v>1.2</v>
      </c>
      <c r="F7" s="40">
        <v>200</v>
      </c>
      <c r="G7" s="23">
        <f>B24</f>
        <v>291.86274756588654</v>
      </c>
      <c r="H7" s="22">
        <f>(E7*F7*G7)/86400</f>
        <v>0.81072985434968481</v>
      </c>
      <c r="R7" s="90" t="s">
        <v>42</v>
      </c>
      <c r="S7" s="90"/>
      <c r="T7" s="90"/>
      <c r="X7" s="40" t="s">
        <v>20</v>
      </c>
      <c r="Y7" s="40" t="s">
        <v>56</v>
      </c>
      <c r="Z7" s="40">
        <v>3</v>
      </c>
    </row>
    <row r="8" spans="1:26" x14ac:dyDescent="0.25">
      <c r="A8" s="1">
        <v>4</v>
      </c>
      <c r="B8" s="3">
        <f t="shared" si="0"/>
        <v>133.70568750000001</v>
      </c>
      <c r="H8" s="40">
        <f>H7*1.75</f>
        <v>1.4187772451119485</v>
      </c>
      <c r="J8" s="90" t="s">
        <v>10</v>
      </c>
      <c r="K8" s="90"/>
      <c r="L8" s="90"/>
      <c r="N8" s="6">
        <f>N9/N10</f>
        <v>0.10891089108910891</v>
      </c>
      <c r="O8" s="40" t="s">
        <v>13</v>
      </c>
      <c r="R8" s="90" t="s">
        <v>43</v>
      </c>
      <c r="S8" s="90"/>
      <c r="T8" s="90"/>
      <c r="U8" s="90"/>
      <c r="V8" s="40">
        <f xml:space="preserve"> 1000</f>
        <v>1000</v>
      </c>
      <c r="X8" s="40" t="s">
        <v>21</v>
      </c>
      <c r="Y8" s="40" t="s">
        <v>56</v>
      </c>
      <c r="Z8" s="40">
        <v>1</v>
      </c>
    </row>
    <row r="9" spans="1:26" x14ac:dyDescent="0.25">
      <c r="A9" s="1">
        <v>5</v>
      </c>
      <c r="B9" s="3">
        <f t="shared" si="0"/>
        <v>140.39097187500002</v>
      </c>
      <c r="J9" s="90" t="s">
        <v>11</v>
      </c>
      <c r="K9" s="90"/>
      <c r="L9" s="90"/>
      <c r="M9" s="90"/>
      <c r="N9" s="21">
        <v>77</v>
      </c>
      <c r="O9" s="40" t="s">
        <v>14</v>
      </c>
      <c r="R9" s="90" t="s">
        <v>44</v>
      </c>
      <c r="S9" s="90"/>
      <c r="X9" s="40" t="s">
        <v>91</v>
      </c>
      <c r="Y9" s="40" t="s">
        <v>56</v>
      </c>
      <c r="Z9" s="40">
        <v>4</v>
      </c>
    </row>
    <row r="10" spans="1:26" x14ac:dyDescent="0.25">
      <c r="A10" s="1">
        <v>6</v>
      </c>
      <c r="B10" s="3">
        <f t="shared" si="0"/>
        <v>147.41052046875004</v>
      </c>
      <c r="J10" s="90" t="s">
        <v>12</v>
      </c>
      <c r="K10" s="90"/>
      <c r="L10" s="90"/>
      <c r="N10" s="21">
        <v>707</v>
      </c>
      <c r="O10" s="40" t="s">
        <v>14</v>
      </c>
      <c r="R10" s="90" t="s">
        <v>45</v>
      </c>
      <c r="S10" s="90"/>
      <c r="T10" s="90"/>
      <c r="X10" s="40" t="s">
        <v>90</v>
      </c>
      <c r="Y10" s="40" t="s">
        <v>56</v>
      </c>
      <c r="Z10" s="40">
        <v>12</v>
      </c>
    </row>
    <row r="11" spans="1:26" x14ac:dyDescent="0.25">
      <c r="A11" s="1">
        <v>7</v>
      </c>
      <c r="B11" s="3">
        <f t="shared" si="0"/>
        <v>154.78104649218756</v>
      </c>
      <c r="R11" s="91" t="s">
        <v>48</v>
      </c>
      <c r="S11" s="91"/>
      <c r="T11" s="91"/>
      <c r="V11" s="16">
        <v>0.7</v>
      </c>
      <c r="X11" s="40" t="s">
        <v>80</v>
      </c>
      <c r="Y11" s="40" t="s">
        <v>14</v>
      </c>
      <c r="Z11" s="40">
        <v>5699</v>
      </c>
    </row>
    <row r="12" spans="1:26" x14ac:dyDescent="0.25">
      <c r="A12" s="1">
        <v>8</v>
      </c>
      <c r="B12" s="3">
        <f t="shared" si="0"/>
        <v>162.52009881679695</v>
      </c>
      <c r="D12" s="40">
        <f>22*5</f>
        <v>110</v>
      </c>
      <c r="R12" s="40" t="s">
        <v>46</v>
      </c>
      <c r="S12" s="40">
        <f>V8*N27*(N9+M21)/(75*0.7)</f>
        <v>2.4375944287447191</v>
      </c>
      <c r="T12" s="40" t="s">
        <v>47</v>
      </c>
      <c r="X12" s="24" t="s">
        <v>87</v>
      </c>
      <c r="Y12" s="40" t="s">
        <v>14</v>
      </c>
      <c r="Z12" s="40">
        <v>1016</v>
      </c>
    </row>
    <row r="13" spans="1:26" ht="15.75" x14ac:dyDescent="0.25">
      <c r="A13" s="1">
        <v>9</v>
      </c>
      <c r="B13" s="3">
        <f t="shared" si="0"/>
        <v>170.64610375763681</v>
      </c>
      <c r="J13" s="87" t="s">
        <v>15</v>
      </c>
      <c r="K13" s="87"/>
      <c r="L13" s="87"/>
      <c r="M13" s="87"/>
      <c r="N13" s="87"/>
      <c r="O13" s="87"/>
      <c r="P13" s="87"/>
      <c r="Q13" s="10"/>
      <c r="X13" s="24" t="s">
        <v>88</v>
      </c>
      <c r="Y13" s="40" t="s">
        <v>14</v>
      </c>
      <c r="Z13" s="27">
        <v>938</v>
      </c>
    </row>
    <row r="14" spans="1:26" x14ac:dyDescent="0.25">
      <c r="A14" s="1">
        <v>10</v>
      </c>
      <c r="B14" s="3">
        <f t="shared" si="0"/>
        <v>179.17840894551867</v>
      </c>
      <c r="X14" s="25" t="s">
        <v>89</v>
      </c>
      <c r="Y14" s="40" t="s">
        <v>56</v>
      </c>
      <c r="Z14" s="27">
        <v>1</v>
      </c>
    </row>
    <row r="15" spans="1:26" ht="14.25" customHeight="1" x14ac:dyDescent="0.25">
      <c r="A15" s="1">
        <v>11</v>
      </c>
      <c r="B15" s="3">
        <f t="shared" si="0"/>
        <v>188.13732939279461</v>
      </c>
      <c r="J15" s="7" t="s">
        <v>16</v>
      </c>
      <c r="K15" s="7" t="s">
        <v>17</v>
      </c>
      <c r="L15" s="7" t="s">
        <v>18</v>
      </c>
      <c r="M15" s="8" t="s">
        <v>19</v>
      </c>
      <c r="X15" s="26" t="s">
        <v>84</v>
      </c>
      <c r="Y15" s="40" t="s">
        <v>56</v>
      </c>
      <c r="Z15" s="27">
        <v>28</v>
      </c>
    </row>
    <row r="16" spans="1:26" x14ac:dyDescent="0.25">
      <c r="A16" s="1">
        <v>12</v>
      </c>
      <c r="B16" s="3">
        <f t="shared" si="0"/>
        <v>197.54419586243435</v>
      </c>
      <c r="J16" s="7" t="s">
        <v>20</v>
      </c>
      <c r="K16" s="19">
        <v>1</v>
      </c>
      <c r="L16" s="19">
        <v>0.4</v>
      </c>
      <c r="M16" s="19">
        <f>L16*K16</f>
        <v>0.4</v>
      </c>
      <c r="X16" s="26" t="s">
        <v>82</v>
      </c>
      <c r="Y16" s="40" t="s">
        <v>56</v>
      </c>
      <c r="Z16" s="27">
        <v>22</v>
      </c>
    </row>
    <row r="17" spans="1:26" x14ac:dyDescent="0.25">
      <c r="A17" s="1">
        <v>13</v>
      </c>
      <c r="B17" s="3">
        <f t="shared" si="0"/>
        <v>207.42140565555607</v>
      </c>
      <c r="J17" s="7" t="s">
        <v>21</v>
      </c>
      <c r="K17" s="19">
        <v>1</v>
      </c>
      <c r="L17" s="19">
        <v>6.4</v>
      </c>
      <c r="M17" s="19">
        <f t="shared" ref="M17:M19" si="1">L17*K17</f>
        <v>6.4</v>
      </c>
      <c r="X17" s="26" t="s">
        <v>85</v>
      </c>
      <c r="Y17" s="40" t="s">
        <v>56</v>
      </c>
      <c r="Z17" s="27">
        <v>17</v>
      </c>
    </row>
    <row r="18" spans="1:26" x14ac:dyDescent="0.25">
      <c r="A18" s="1">
        <v>14</v>
      </c>
      <c r="B18" s="3">
        <f t="shared" si="0"/>
        <v>217.79247593833389</v>
      </c>
      <c r="J18" s="7" t="s">
        <v>22</v>
      </c>
      <c r="K18" s="19">
        <v>4</v>
      </c>
      <c r="L18" s="19">
        <v>1.1000000000000001</v>
      </c>
      <c r="M18" s="19">
        <f t="shared" si="1"/>
        <v>4.4000000000000004</v>
      </c>
      <c r="X18" s="26" t="s">
        <v>93</v>
      </c>
      <c r="Y18" s="40" t="s">
        <v>56</v>
      </c>
      <c r="Z18" s="27">
        <v>5</v>
      </c>
    </row>
    <row r="19" spans="1:26" x14ac:dyDescent="0.25">
      <c r="A19" s="1">
        <v>15</v>
      </c>
      <c r="B19" s="3">
        <f t="shared" si="0"/>
        <v>228.6820997352506</v>
      </c>
      <c r="J19" s="7" t="s">
        <v>23</v>
      </c>
      <c r="K19" s="19">
        <v>5</v>
      </c>
      <c r="L19" s="19">
        <v>0.4</v>
      </c>
      <c r="M19" s="19">
        <f t="shared" si="1"/>
        <v>2</v>
      </c>
      <c r="X19" s="25" t="s">
        <v>86</v>
      </c>
      <c r="Y19" s="40" t="s">
        <v>56</v>
      </c>
      <c r="Z19" s="27">
        <v>5</v>
      </c>
    </row>
    <row r="20" spans="1:26" x14ac:dyDescent="0.25">
      <c r="A20" s="1">
        <v>16</v>
      </c>
      <c r="B20" s="3">
        <f t="shared" si="0"/>
        <v>240.11620472201315</v>
      </c>
      <c r="J20" s="18"/>
      <c r="K20" s="20"/>
      <c r="L20" s="19"/>
      <c r="M20" s="19"/>
      <c r="X20" s="28" t="s">
        <v>73</v>
      </c>
      <c r="Y20" s="40" t="s">
        <v>56</v>
      </c>
      <c r="Z20" s="39">
        <v>1</v>
      </c>
    </row>
    <row r="21" spans="1:26" x14ac:dyDescent="0.25">
      <c r="A21" s="1">
        <v>17</v>
      </c>
      <c r="B21" s="3">
        <f t="shared" si="0"/>
        <v>252.12201495811382</v>
      </c>
      <c r="L21" s="9" t="s">
        <v>24</v>
      </c>
      <c r="M21" s="40">
        <f>SUM(M16:M20)</f>
        <v>13.200000000000001</v>
      </c>
      <c r="X21" s="40" t="s">
        <v>76</v>
      </c>
      <c r="Y21" s="40" t="s">
        <v>56</v>
      </c>
      <c r="Z21" s="29">
        <v>2</v>
      </c>
    </row>
    <row r="22" spans="1:26" x14ac:dyDescent="0.25">
      <c r="A22" s="1">
        <v>18</v>
      </c>
      <c r="B22" s="3">
        <f t="shared" si="0"/>
        <v>264.72811570601954</v>
      </c>
      <c r="X22" s="40" t="s">
        <v>83</v>
      </c>
      <c r="Y22" s="40" t="s">
        <v>56</v>
      </c>
      <c r="Z22" s="29">
        <v>4</v>
      </c>
    </row>
    <row r="23" spans="1:26" x14ac:dyDescent="0.25">
      <c r="A23" s="1">
        <v>19</v>
      </c>
      <c r="B23" s="3">
        <f t="shared" si="0"/>
        <v>277.96452149132051</v>
      </c>
    </row>
    <row r="24" spans="1:26" ht="15.75" x14ac:dyDescent="0.25">
      <c r="A24" s="4">
        <v>20</v>
      </c>
      <c r="B24" s="17">
        <f t="shared" si="0"/>
        <v>291.86274756588654</v>
      </c>
      <c r="X24" s="42" t="s">
        <v>78</v>
      </c>
      <c r="Y24" s="42"/>
      <c r="Z24" s="42"/>
    </row>
    <row r="25" spans="1:26" x14ac:dyDescent="0.25">
      <c r="X25" s="40" t="s">
        <v>49</v>
      </c>
      <c r="Y25" s="40" t="s">
        <v>55</v>
      </c>
      <c r="Z25" s="40" t="s">
        <v>17</v>
      </c>
    </row>
    <row r="27" spans="1:26" x14ac:dyDescent="0.25">
      <c r="J27" s="40" t="s">
        <v>27</v>
      </c>
      <c r="N27" s="22">
        <f>H8/1000</f>
        <v>1.4187772451119485E-3</v>
      </c>
      <c r="X27" s="40" t="s">
        <v>50</v>
      </c>
      <c r="Y27" s="40" t="s">
        <v>57</v>
      </c>
      <c r="Z27" s="40">
        <v>90</v>
      </c>
    </row>
    <row r="28" spans="1:26" x14ac:dyDescent="0.25">
      <c r="J28" s="92" t="s">
        <v>25</v>
      </c>
      <c r="K28" s="92"/>
      <c r="L28" s="92"/>
      <c r="N28" s="22">
        <v>140</v>
      </c>
      <c r="X28" s="40" t="s">
        <v>51</v>
      </c>
      <c r="Y28" s="40" t="s">
        <v>58</v>
      </c>
      <c r="Z28" s="40">
        <v>8</v>
      </c>
    </row>
    <row r="29" spans="1:26" x14ac:dyDescent="0.25">
      <c r="J29" s="40" t="s">
        <v>26</v>
      </c>
      <c r="N29" s="40">
        <v>0.05</v>
      </c>
      <c r="X29" s="40" t="s">
        <v>77</v>
      </c>
      <c r="Y29" s="40" t="s">
        <v>59</v>
      </c>
      <c r="Z29" s="40">
        <v>380</v>
      </c>
    </row>
    <row r="30" spans="1:26" x14ac:dyDescent="0.25">
      <c r="J30" s="90" t="s">
        <v>28</v>
      </c>
      <c r="K30" s="90"/>
      <c r="N30" s="40">
        <f>M21</f>
        <v>13.200000000000001</v>
      </c>
      <c r="X30" s="40" t="s">
        <v>71</v>
      </c>
      <c r="Y30" s="40" t="s">
        <v>60</v>
      </c>
      <c r="Z30" s="40">
        <v>450</v>
      </c>
    </row>
    <row r="31" spans="1:26" x14ac:dyDescent="0.25">
      <c r="J31" s="90" t="s">
        <v>29</v>
      </c>
      <c r="K31" s="90"/>
      <c r="N31" s="40">
        <f>10.643*((N27/N28)^1.852)*(N30/(N29^4.87))</f>
        <v>0.17154184444671444</v>
      </c>
      <c r="X31" s="40" t="s">
        <v>52</v>
      </c>
      <c r="Y31" s="40" t="s">
        <v>60</v>
      </c>
      <c r="Z31" s="40">
        <v>450</v>
      </c>
    </row>
    <row r="32" spans="1:26" x14ac:dyDescent="0.25">
      <c r="X32" s="40" t="s">
        <v>53</v>
      </c>
      <c r="Y32" s="40" t="s">
        <v>59</v>
      </c>
      <c r="Z32" s="40">
        <v>10</v>
      </c>
    </row>
    <row r="33" spans="10:29" ht="15" customHeight="1" x14ac:dyDescent="0.25">
      <c r="X33" s="40" t="s">
        <v>54</v>
      </c>
      <c r="Y33" s="40" t="s">
        <v>58</v>
      </c>
      <c r="Z33" s="40">
        <v>140</v>
      </c>
    </row>
    <row r="34" spans="10:29" ht="15.75" x14ac:dyDescent="0.25">
      <c r="J34" s="87" t="s">
        <v>30</v>
      </c>
      <c r="K34" s="87"/>
      <c r="L34" s="87"/>
    </row>
    <row r="35" spans="10:29" ht="15.75" x14ac:dyDescent="0.25">
      <c r="X35" s="41" t="s">
        <v>63</v>
      </c>
      <c r="Y35" s="35"/>
      <c r="Z35" s="35"/>
    </row>
    <row r="36" spans="10:29" x14ac:dyDescent="0.25">
      <c r="Y36" s="40" t="s">
        <v>55</v>
      </c>
      <c r="Z36" s="40" t="s">
        <v>17</v>
      </c>
      <c r="AC36" s="40">
        <v>0.48</v>
      </c>
    </row>
    <row r="37" spans="10:29" x14ac:dyDescent="0.25">
      <c r="X37" s="31" t="s">
        <v>64</v>
      </c>
      <c r="Y37" s="40" t="s">
        <v>14</v>
      </c>
      <c r="Z37" s="40">
        <f>Z11</f>
        <v>5699</v>
      </c>
      <c r="AA37" s="40">
        <f>SUM(Z37:Z39)</f>
        <v>7653</v>
      </c>
    </row>
    <row r="38" spans="10:29" x14ac:dyDescent="0.25">
      <c r="X38" s="32" t="s">
        <v>79</v>
      </c>
      <c r="Y38" s="40" t="s">
        <v>14</v>
      </c>
      <c r="Z38" s="40">
        <f>Z12</f>
        <v>1016</v>
      </c>
      <c r="AB38" s="40">
        <f>0.75*AA37</f>
        <v>5739.75</v>
      </c>
    </row>
    <row r="39" spans="10:29" x14ac:dyDescent="0.25">
      <c r="X39" s="32" t="s">
        <v>65</v>
      </c>
      <c r="Y39" s="40" t="s">
        <v>14</v>
      </c>
      <c r="Z39" s="40">
        <f>Z13</f>
        <v>938</v>
      </c>
      <c r="AB39" s="40">
        <f>0.2*AA37</f>
        <v>1530.6000000000001</v>
      </c>
    </row>
    <row r="40" spans="10:29" x14ac:dyDescent="0.25">
      <c r="X40" s="33" t="s">
        <v>74</v>
      </c>
      <c r="Y40" s="33" t="s">
        <v>58</v>
      </c>
      <c r="Z40" s="40">
        <f>AB38*AC36</f>
        <v>2755.08</v>
      </c>
      <c r="AB40" s="40">
        <f>0.05*AA37</f>
        <v>382.65000000000003</v>
      </c>
    </row>
    <row r="41" spans="10:29" x14ac:dyDescent="0.25">
      <c r="X41" s="40" t="s">
        <v>70</v>
      </c>
      <c r="Y41" s="33" t="s">
        <v>58</v>
      </c>
      <c r="Z41" s="40">
        <f>AB39*AC36</f>
        <v>734.68799999999999</v>
      </c>
    </row>
    <row r="42" spans="10:29" x14ac:dyDescent="0.25">
      <c r="K42" s="40" t="s">
        <v>31</v>
      </c>
      <c r="L42" s="40">
        <f>((10.643*((N27/N28)^1.852))/N8)^(1/4.87)</f>
        <v>3.2313632471076929E-2</v>
      </c>
      <c r="M42" s="40" t="s">
        <v>14</v>
      </c>
      <c r="X42" s="40" t="s">
        <v>75</v>
      </c>
      <c r="Y42" s="33" t="s">
        <v>58</v>
      </c>
      <c r="Z42" s="40">
        <f>AB40*AC36</f>
        <v>183.672</v>
      </c>
    </row>
    <row r="43" spans="10:29" ht="30" x14ac:dyDescent="0.25">
      <c r="X43" s="30" t="s">
        <v>72</v>
      </c>
      <c r="Y43" s="40" t="s">
        <v>56</v>
      </c>
      <c r="Z43" s="40">
        <v>1</v>
      </c>
    </row>
    <row r="44" spans="10:29" x14ac:dyDescent="0.25">
      <c r="X44" s="40" t="s">
        <v>66</v>
      </c>
      <c r="Y44" s="40" t="s">
        <v>69</v>
      </c>
      <c r="Z44" s="40">
        <v>300</v>
      </c>
    </row>
    <row r="45" spans="10:29" ht="15" customHeight="1" x14ac:dyDescent="0.25">
      <c r="J45" s="94" t="s">
        <v>32</v>
      </c>
      <c r="K45" s="94"/>
      <c r="L45" s="94"/>
      <c r="M45" s="94"/>
      <c r="N45" s="94"/>
      <c r="X45" s="40" t="s">
        <v>67</v>
      </c>
      <c r="Y45" s="40" t="s">
        <v>69</v>
      </c>
      <c r="Z45" s="40">
        <v>90</v>
      </c>
    </row>
    <row r="46" spans="10:29" ht="15" customHeight="1" x14ac:dyDescent="0.25">
      <c r="J46" s="94"/>
      <c r="K46" s="94"/>
      <c r="L46" s="94"/>
      <c r="M46" s="94"/>
      <c r="N46" s="94"/>
      <c r="X46" s="40" t="s">
        <v>68</v>
      </c>
      <c r="Y46" s="40" t="s">
        <v>69</v>
      </c>
      <c r="Z46" s="40">
        <v>400</v>
      </c>
    </row>
    <row r="47" spans="10:29" ht="15" customHeight="1" x14ac:dyDescent="0.25">
      <c r="J47" s="94"/>
      <c r="K47" s="94"/>
      <c r="L47" s="94"/>
      <c r="M47" s="94"/>
      <c r="N47" s="94"/>
    </row>
    <row r="50" spans="10:14" x14ac:dyDescent="0.25">
      <c r="J50" s="95" t="s">
        <v>33</v>
      </c>
      <c r="K50" s="95"/>
      <c r="L50" s="95"/>
      <c r="M50" s="95"/>
      <c r="N50" s="95"/>
    </row>
    <row r="51" spans="10:14" ht="15.75" x14ac:dyDescent="0.25">
      <c r="J51" s="11"/>
    </row>
    <row r="52" spans="10:14" ht="15.75" x14ac:dyDescent="0.25">
      <c r="J52" s="11"/>
    </row>
    <row r="53" spans="10:14" ht="15.75" x14ac:dyDescent="0.25">
      <c r="J53" s="11"/>
    </row>
    <row r="54" spans="10:14" ht="18" x14ac:dyDescent="0.25">
      <c r="J54" s="12" t="s">
        <v>34</v>
      </c>
    </row>
    <row r="55" spans="10:14" ht="15.75" x14ac:dyDescent="0.25">
      <c r="J55" s="11"/>
    </row>
    <row r="56" spans="10:14" x14ac:dyDescent="0.25">
      <c r="J56" s="13" t="s">
        <v>35</v>
      </c>
    </row>
    <row r="57" spans="10:14" x14ac:dyDescent="0.25">
      <c r="J57" s="13" t="s">
        <v>36</v>
      </c>
    </row>
    <row r="58" spans="10:14" x14ac:dyDescent="0.25">
      <c r="J58" s="96" t="s">
        <v>37</v>
      </c>
      <c r="K58" s="96"/>
      <c r="L58" s="96"/>
      <c r="M58" s="96"/>
      <c r="N58" s="96"/>
    </row>
    <row r="59" spans="10:14" x14ac:dyDescent="0.25">
      <c r="J59" s="93" t="s">
        <v>38</v>
      </c>
      <c r="K59" s="93"/>
      <c r="L59" s="93"/>
      <c r="M59" s="93"/>
      <c r="N59" s="93"/>
    </row>
    <row r="60" spans="10:14" x14ac:dyDescent="0.25">
      <c r="J60" s="14"/>
      <c r="K60" s="14"/>
      <c r="L60" s="14"/>
      <c r="M60" s="14"/>
      <c r="N60" s="14"/>
    </row>
    <row r="61" spans="10:14" x14ac:dyDescent="0.25">
      <c r="K61" s="15" t="s">
        <v>39</v>
      </c>
      <c r="L61" s="15">
        <v>0.5</v>
      </c>
      <c r="M61" s="15"/>
      <c r="N61" s="15"/>
    </row>
    <row r="62" spans="10:14" x14ac:dyDescent="0.25">
      <c r="K62" s="40" t="s">
        <v>40</v>
      </c>
      <c r="L62" s="40">
        <v>1.2</v>
      </c>
    </row>
    <row r="63" spans="10:14" x14ac:dyDescent="0.25">
      <c r="K63" s="40" t="s">
        <v>31</v>
      </c>
      <c r="L63" s="40">
        <f>L61^(1/4)*L62*(N27^0.5)</f>
        <v>3.8008510834509561E-2</v>
      </c>
    </row>
  </sheetData>
  <mergeCells count="24">
    <mergeCell ref="J9:M9"/>
    <mergeCell ref="R9:S9"/>
    <mergeCell ref="J59:N59"/>
    <mergeCell ref="J10:L10"/>
    <mergeCell ref="R10:T10"/>
    <mergeCell ref="R11:T11"/>
    <mergeCell ref="J13:P13"/>
    <mergeCell ref="J28:L28"/>
    <mergeCell ref="J30:K30"/>
    <mergeCell ref="J31:K31"/>
    <mergeCell ref="J34:L34"/>
    <mergeCell ref="J45:N47"/>
    <mergeCell ref="J50:N50"/>
    <mergeCell ref="J58:N58"/>
    <mergeCell ref="X1:Z1"/>
    <mergeCell ref="J3:N3"/>
    <mergeCell ref="R7:T7"/>
    <mergeCell ref="J8:L8"/>
    <mergeCell ref="R8:U8"/>
    <mergeCell ref="A2:B2"/>
    <mergeCell ref="A1:C1"/>
    <mergeCell ref="E1:H1"/>
    <mergeCell ref="J1:O1"/>
    <mergeCell ref="R1:U1"/>
  </mergeCells>
  <pageMargins left="0.511811024" right="0.511811024" top="0.78740157499999996" bottom="0.78740157499999996" header="0.31496062000000002" footer="0.31496062000000002"/>
  <drawing r:id="rId1"/>
  <legacyDrawing r:id="rId2"/>
  <oleObjects>
    <mc:AlternateContent xmlns:mc="http://schemas.openxmlformats.org/markup-compatibility/2006">
      <mc:Choice Requires="x14">
        <oleObject progId="Equation.3" shapeId="11265" r:id="rId3">
          <objectPr defaultSize="0" autoPict="0" r:id="rId4">
            <anchor moveWithCells="1">
              <from>
                <xdr:col>4</xdr:col>
                <xdr:colOff>304800</xdr:colOff>
                <xdr:row>1</xdr:row>
                <xdr:rowOff>57150</xdr:rowOff>
              </from>
              <to>
                <xdr:col>7</xdr:col>
                <xdr:colOff>200025</xdr:colOff>
                <xdr:row>3</xdr:row>
                <xdr:rowOff>171450</xdr:rowOff>
              </to>
            </anchor>
          </objectPr>
        </oleObject>
      </mc:Choice>
      <mc:Fallback>
        <oleObject progId="Equation.3" shapeId="11265" r:id="rId3"/>
      </mc:Fallback>
    </mc:AlternateContent>
    <mc:AlternateContent xmlns:mc="http://schemas.openxmlformats.org/markup-compatibility/2006">
      <mc:Choice Requires="x14">
        <oleObject progId="Equation.3" shapeId="11266" r:id="rId5">
          <objectPr defaultSize="0" autoPict="0" r:id="rId4">
            <anchor moveWithCells="1">
              <from>
                <xdr:col>4</xdr:col>
                <xdr:colOff>304800</xdr:colOff>
                <xdr:row>1</xdr:row>
                <xdr:rowOff>57150</xdr:rowOff>
              </from>
              <to>
                <xdr:col>7</xdr:col>
                <xdr:colOff>200025</xdr:colOff>
                <xdr:row>4</xdr:row>
                <xdr:rowOff>47625</xdr:rowOff>
              </to>
            </anchor>
          </objectPr>
        </oleObject>
      </mc:Choice>
      <mc:Fallback>
        <oleObject progId="Equation.3" shapeId="11266" r:id="rId5"/>
      </mc:Fallback>
    </mc:AlternateContent>
  </oleObject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C63"/>
  <sheetViews>
    <sheetView topLeftCell="Q1" workbookViewId="0">
      <selection activeCell="X8" sqref="X8"/>
    </sheetView>
  </sheetViews>
  <sheetFormatPr defaultRowHeight="15" x14ac:dyDescent="0.25"/>
  <cols>
    <col min="1" max="1" width="9.140625" style="45" customWidth="1"/>
    <col min="2" max="9" width="9.140625" style="45"/>
    <col min="10" max="10" width="18.85546875" style="45" bestFit="1" customWidth="1"/>
    <col min="11" max="11" width="11.5703125" style="45" customWidth="1"/>
    <col min="12" max="12" width="9.140625" style="45"/>
    <col min="13" max="13" width="9.140625" style="45" customWidth="1"/>
    <col min="14" max="14" width="9.5703125" style="45" bestFit="1" customWidth="1"/>
    <col min="15" max="23" width="9.140625" style="45"/>
    <col min="24" max="24" width="78.85546875" style="45" customWidth="1"/>
    <col min="25" max="16384" width="9.140625" style="45"/>
  </cols>
  <sheetData>
    <row r="1" spans="1:26" ht="15.75" x14ac:dyDescent="0.25">
      <c r="A1" s="85" t="s">
        <v>2</v>
      </c>
      <c r="B1" s="86"/>
      <c r="C1" s="86"/>
      <c r="D1" s="5"/>
      <c r="E1" s="87" t="s">
        <v>3</v>
      </c>
      <c r="F1" s="87"/>
      <c r="G1" s="87"/>
      <c r="H1" s="88"/>
      <c r="J1" s="87" t="s">
        <v>8</v>
      </c>
      <c r="K1" s="87"/>
      <c r="L1" s="87"/>
      <c r="M1" s="87"/>
      <c r="N1" s="87"/>
      <c r="O1" s="87"/>
      <c r="R1" s="89" t="s">
        <v>41</v>
      </c>
      <c r="S1" s="89"/>
      <c r="T1" s="89"/>
      <c r="U1" s="89"/>
      <c r="X1" s="87" t="s">
        <v>61</v>
      </c>
      <c r="Y1" s="87"/>
      <c r="Z1" s="87"/>
    </row>
    <row r="2" spans="1:26" x14ac:dyDescent="0.25">
      <c r="A2" s="83" t="s">
        <v>98</v>
      </c>
      <c r="B2" s="90"/>
    </row>
    <row r="3" spans="1:26" ht="15.75" x14ac:dyDescent="0.25">
      <c r="A3" s="1" t="s">
        <v>0</v>
      </c>
      <c r="B3" s="2" t="s">
        <v>1</v>
      </c>
      <c r="J3" s="87" t="s">
        <v>9</v>
      </c>
      <c r="K3" s="87"/>
      <c r="L3" s="87"/>
      <c r="M3" s="87"/>
      <c r="N3" s="87"/>
      <c r="X3" s="44" t="s">
        <v>62</v>
      </c>
    </row>
    <row r="4" spans="1:26" x14ac:dyDescent="0.25">
      <c r="A4" s="1">
        <v>0</v>
      </c>
      <c r="B4" s="34">
        <v>400</v>
      </c>
    </row>
    <row r="5" spans="1:26" x14ac:dyDescent="0.25">
      <c r="A5" s="1">
        <v>1</v>
      </c>
      <c r="B5" s="3">
        <f>B4*1.05</f>
        <v>420</v>
      </c>
      <c r="X5" s="45" t="s">
        <v>49</v>
      </c>
      <c r="Y5" s="45" t="s">
        <v>55</v>
      </c>
      <c r="Z5" s="45" t="s">
        <v>17</v>
      </c>
    </row>
    <row r="6" spans="1:26" x14ac:dyDescent="0.25">
      <c r="A6" s="1">
        <v>2</v>
      </c>
      <c r="B6" s="3">
        <f t="shared" ref="B6:B24" si="0">B5*1.05</f>
        <v>441</v>
      </c>
      <c r="E6" s="45" t="s">
        <v>4</v>
      </c>
      <c r="F6" s="45" t="s">
        <v>5</v>
      </c>
      <c r="G6" s="45" t="s">
        <v>6</v>
      </c>
      <c r="H6" s="45" t="s">
        <v>7</v>
      </c>
    </row>
    <row r="7" spans="1:26" x14ac:dyDescent="0.25">
      <c r="A7" s="1">
        <v>3</v>
      </c>
      <c r="B7" s="3">
        <f t="shared" si="0"/>
        <v>463.05</v>
      </c>
      <c r="E7" s="45">
        <v>1.2</v>
      </c>
      <c r="F7" s="45">
        <v>200</v>
      </c>
      <c r="G7" s="23">
        <f>B24</f>
        <v>1061.319082057769</v>
      </c>
      <c r="H7" s="22">
        <f>(E7*F7*G7)/86400</f>
        <v>2.9481085612715807</v>
      </c>
      <c r="R7" s="90" t="s">
        <v>42</v>
      </c>
      <c r="S7" s="90"/>
      <c r="T7" s="90"/>
      <c r="X7" s="76" t="s">
        <v>127</v>
      </c>
      <c r="Y7" s="45" t="s">
        <v>56</v>
      </c>
      <c r="Z7" s="45">
        <v>2</v>
      </c>
    </row>
    <row r="8" spans="1:26" x14ac:dyDescent="0.25">
      <c r="A8" s="1">
        <v>4</v>
      </c>
      <c r="B8" s="3">
        <f t="shared" si="0"/>
        <v>486.20250000000004</v>
      </c>
      <c r="H8" s="45">
        <f>H7*1.75</f>
        <v>5.159189982225266</v>
      </c>
      <c r="J8" s="90" t="s">
        <v>10</v>
      </c>
      <c r="K8" s="90"/>
      <c r="L8" s="90"/>
      <c r="N8" s="6">
        <f>N9/N10</f>
        <v>4.8250904704463207E-2</v>
      </c>
      <c r="O8" s="45" t="s">
        <v>13</v>
      </c>
      <c r="R8" s="90" t="s">
        <v>43</v>
      </c>
      <c r="S8" s="90"/>
      <c r="T8" s="90"/>
      <c r="U8" s="90"/>
      <c r="V8" s="45">
        <f xml:space="preserve"> 1000</f>
        <v>1000</v>
      </c>
      <c r="X8" s="76" t="s">
        <v>128</v>
      </c>
      <c r="Y8" s="45" t="s">
        <v>56</v>
      </c>
      <c r="Z8" s="45">
        <v>1</v>
      </c>
    </row>
    <row r="9" spans="1:26" x14ac:dyDescent="0.25">
      <c r="A9" s="1">
        <v>5</v>
      </c>
      <c r="B9" s="3">
        <f t="shared" si="0"/>
        <v>510.51262500000007</v>
      </c>
      <c r="J9" s="90" t="s">
        <v>11</v>
      </c>
      <c r="K9" s="90"/>
      <c r="L9" s="90"/>
      <c r="M9" s="90"/>
      <c r="N9" s="21">
        <v>40</v>
      </c>
      <c r="O9" s="45" t="s">
        <v>14</v>
      </c>
      <c r="R9" s="90" t="s">
        <v>44</v>
      </c>
      <c r="S9" s="90"/>
      <c r="X9" s="45" t="s">
        <v>91</v>
      </c>
      <c r="Y9" s="45" t="s">
        <v>56</v>
      </c>
      <c r="Z9" s="45">
        <v>4</v>
      </c>
    </row>
    <row r="10" spans="1:26" x14ac:dyDescent="0.25">
      <c r="A10" s="1">
        <v>6</v>
      </c>
      <c r="B10" s="3">
        <f t="shared" si="0"/>
        <v>536.03825625000013</v>
      </c>
      <c r="J10" s="90" t="s">
        <v>12</v>
      </c>
      <c r="K10" s="90"/>
      <c r="L10" s="90"/>
      <c r="N10" s="21">
        <v>829</v>
      </c>
      <c r="O10" s="45" t="s">
        <v>14</v>
      </c>
      <c r="R10" s="90" t="s">
        <v>45</v>
      </c>
      <c r="S10" s="90"/>
      <c r="T10" s="90"/>
      <c r="X10" s="45" t="s">
        <v>90</v>
      </c>
      <c r="Y10" s="45" t="s">
        <v>56</v>
      </c>
      <c r="Z10" s="45">
        <v>5</v>
      </c>
    </row>
    <row r="11" spans="1:26" x14ac:dyDescent="0.25">
      <c r="A11" s="1">
        <v>7</v>
      </c>
      <c r="B11" s="3">
        <f t="shared" si="0"/>
        <v>562.84016906250019</v>
      </c>
      <c r="D11" s="45">
        <f>80*5</f>
        <v>400</v>
      </c>
      <c r="R11" s="91" t="s">
        <v>48</v>
      </c>
      <c r="S11" s="91"/>
      <c r="T11" s="91"/>
      <c r="V11" s="16">
        <v>0.7</v>
      </c>
      <c r="X11" s="45" t="s">
        <v>99</v>
      </c>
      <c r="Y11" s="45" t="s">
        <v>14</v>
      </c>
      <c r="Z11" s="45">
        <v>829</v>
      </c>
    </row>
    <row r="12" spans="1:26" x14ac:dyDescent="0.25">
      <c r="A12" s="1">
        <v>8</v>
      </c>
      <c r="B12" s="3">
        <f t="shared" si="0"/>
        <v>590.98217751562527</v>
      </c>
      <c r="R12" s="45" t="s">
        <v>46</v>
      </c>
      <c r="S12" s="45">
        <f>V8*N27*(N9+M21)/(75*0.7)</f>
        <v>5.2279791819882693</v>
      </c>
      <c r="T12" s="45" t="s">
        <v>47</v>
      </c>
      <c r="X12" s="25" t="s">
        <v>89</v>
      </c>
      <c r="Y12" s="45" t="s">
        <v>56</v>
      </c>
      <c r="Z12" s="27">
        <v>1</v>
      </c>
    </row>
    <row r="13" spans="1:26" ht="15.75" x14ac:dyDescent="0.25">
      <c r="A13" s="1">
        <v>9</v>
      </c>
      <c r="B13" s="3">
        <f t="shared" si="0"/>
        <v>620.53128639140652</v>
      </c>
      <c r="J13" s="87" t="s">
        <v>15</v>
      </c>
      <c r="K13" s="87"/>
      <c r="L13" s="87"/>
      <c r="M13" s="87"/>
      <c r="N13" s="87"/>
      <c r="O13" s="87"/>
      <c r="P13" s="87"/>
      <c r="Q13" s="10"/>
      <c r="X13" s="26" t="s">
        <v>84</v>
      </c>
      <c r="Y13" s="45" t="s">
        <v>56</v>
      </c>
      <c r="Z13" s="27">
        <v>2</v>
      </c>
    </row>
    <row r="14" spans="1:26" x14ac:dyDescent="0.25">
      <c r="A14" s="1">
        <v>10</v>
      </c>
      <c r="B14" s="3">
        <f t="shared" si="0"/>
        <v>651.55785071097682</v>
      </c>
      <c r="X14" s="28" t="s">
        <v>73</v>
      </c>
      <c r="Y14" s="45" t="s">
        <v>56</v>
      </c>
      <c r="Z14" s="39">
        <v>1</v>
      </c>
    </row>
    <row r="15" spans="1:26" ht="15" customHeight="1" x14ac:dyDescent="0.25">
      <c r="A15" s="1">
        <v>11</v>
      </c>
      <c r="B15" s="3">
        <f t="shared" si="0"/>
        <v>684.13574324652575</v>
      </c>
      <c r="J15" s="7" t="s">
        <v>16</v>
      </c>
      <c r="K15" s="7" t="s">
        <v>17</v>
      </c>
      <c r="L15" s="7" t="s">
        <v>18</v>
      </c>
      <c r="M15" s="8" t="s">
        <v>19</v>
      </c>
      <c r="X15" s="45" t="s">
        <v>76</v>
      </c>
      <c r="Y15" s="45" t="s">
        <v>56</v>
      </c>
      <c r="Z15" s="29">
        <v>1</v>
      </c>
    </row>
    <row r="16" spans="1:26" ht="15" customHeight="1" x14ac:dyDescent="0.25">
      <c r="A16" s="1">
        <v>12</v>
      </c>
      <c r="B16" s="3">
        <f t="shared" si="0"/>
        <v>718.3425304088521</v>
      </c>
      <c r="J16" s="7" t="s">
        <v>20</v>
      </c>
      <c r="K16" s="19">
        <v>1</v>
      </c>
      <c r="L16" s="19">
        <v>0.4</v>
      </c>
      <c r="M16" s="19">
        <f>L16*K16</f>
        <v>0.4</v>
      </c>
      <c r="X16" s="44" t="s">
        <v>78</v>
      </c>
      <c r="Y16" s="44"/>
      <c r="Z16" s="44"/>
    </row>
    <row r="17" spans="1:29" x14ac:dyDescent="0.25">
      <c r="A17" s="1">
        <v>13</v>
      </c>
      <c r="B17" s="3">
        <f t="shared" si="0"/>
        <v>754.25965692929469</v>
      </c>
      <c r="J17" s="7" t="s">
        <v>21</v>
      </c>
      <c r="K17" s="19">
        <v>1</v>
      </c>
      <c r="L17" s="19">
        <v>6.4</v>
      </c>
      <c r="M17" s="19">
        <f t="shared" ref="M17:M19" si="1">L17*K17</f>
        <v>6.4</v>
      </c>
      <c r="X17" s="45" t="s">
        <v>49</v>
      </c>
      <c r="Y17" s="45" t="s">
        <v>55</v>
      </c>
      <c r="Z17" s="45" t="s">
        <v>17</v>
      </c>
    </row>
    <row r="18" spans="1:29" x14ac:dyDescent="0.25">
      <c r="A18" s="1">
        <v>14</v>
      </c>
      <c r="B18" s="3">
        <f t="shared" si="0"/>
        <v>791.97263977575949</v>
      </c>
      <c r="J18" s="7" t="s">
        <v>22</v>
      </c>
      <c r="K18" s="19">
        <v>4</v>
      </c>
      <c r="L18" s="19">
        <v>1.1000000000000001</v>
      </c>
      <c r="M18" s="19">
        <f t="shared" si="1"/>
        <v>4.4000000000000004</v>
      </c>
    </row>
    <row r="19" spans="1:29" x14ac:dyDescent="0.25">
      <c r="A19" s="1">
        <v>15</v>
      </c>
      <c r="B19" s="3">
        <f t="shared" si="0"/>
        <v>831.57127176454753</v>
      </c>
      <c r="J19" s="7" t="s">
        <v>23</v>
      </c>
      <c r="K19" s="19">
        <v>5</v>
      </c>
      <c r="L19" s="19">
        <v>0.4</v>
      </c>
      <c r="M19" s="19">
        <f t="shared" si="1"/>
        <v>2</v>
      </c>
      <c r="X19" s="45" t="s">
        <v>50</v>
      </c>
      <c r="Y19" s="45" t="s">
        <v>57</v>
      </c>
      <c r="Z19" s="45">
        <v>90</v>
      </c>
    </row>
    <row r="20" spans="1:29" x14ac:dyDescent="0.25">
      <c r="A20" s="1">
        <v>16</v>
      </c>
      <c r="B20" s="3">
        <f t="shared" si="0"/>
        <v>873.14983535277497</v>
      </c>
      <c r="J20" s="18"/>
      <c r="K20" s="20"/>
      <c r="L20" s="19"/>
      <c r="M20" s="19"/>
      <c r="X20" s="45" t="s">
        <v>51</v>
      </c>
      <c r="Y20" s="45" t="s">
        <v>58</v>
      </c>
      <c r="Z20" s="45">
        <v>8</v>
      </c>
    </row>
    <row r="21" spans="1:29" x14ac:dyDescent="0.25">
      <c r="A21" s="1">
        <v>17</v>
      </c>
      <c r="B21" s="3">
        <f t="shared" si="0"/>
        <v>916.80732712041379</v>
      </c>
      <c r="L21" s="9" t="s">
        <v>24</v>
      </c>
      <c r="M21" s="45">
        <f>SUM(M16:M20)</f>
        <v>13.200000000000001</v>
      </c>
      <c r="X21" s="45" t="s">
        <v>77</v>
      </c>
      <c r="Y21" s="45" t="s">
        <v>59</v>
      </c>
      <c r="Z21" s="45">
        <v>380</v>
      </c>
    </row>
    <row r="22" spans="1:29" x14ac:dyDescent="0.25">
      <c r="A22" s="1">
        <v>18</v>
      </c>
      <c r="B22" s="3">
        <f t="shared" si="0"/>
        <v>962.64769347643448</v>
      </c>
      <c r="X22" s="45" t="s">
        <v>71</v>
      </c>
      <c r="Y22" s="45" t="s">
        <v>60</v>
      </c>
      <c r="Z22" s="45">
        <v>450</v>
      </c>
    </row>
    <row r="23" spans="1:29" x14ac:dyDescent="0.25">
      <c r="A23" s="1">
        <v>19</v>
      </c>
      <c r="B23" s="3">
        <f t="shared" si="0"/>
        <v>1010.7800781502563</v>
      </c>
      <c r="X23" s="45" t="s">
        <v>52</v>
      </c>
      <c r="Y23" s="45" t="s">
        <v>60</v>
      </c>
      <c r="Z23" s="45">
        <v>450</v>
      </c>
    </row>
    <row r="24" spans="1:29" x14ac:dyDescent="0.25">
      <c r="A24" s="4">
        <v>20</v>
      </c>
      <c r="B24" s="17">
        <f t="shared" si="0"/>
        <v>1061.319082057769</v>
      </c>
      <c r="X24" s="45" t="s">
        <v>53</v>
      </c>
      <c r="Y24" s="45" t="s">
        <v>59</v>
      </c>
      <c r="Z24" s="45">
        <v>10</v>
      </c>
    </row>
    <row r="25" spans="1:29" x14ac:dyDescent="0.25">
      <c r="X25" s="45" t="s">
        <v>54</v>
      </c>
      <c r="Y25" s="45" t="s">
        <v>58</v>
      </c>
      <c r="Z25" s="45">
        <v>140</v>
      </c>
    </row>
    <row r="26" spans="1:29" ht="15.75" x14ac:dyDescent="0.25">
      <c r="X26" s="43" t="s">
        <v>63</v>
      </c>
      <c r="Y26" s="35"/>
      <c r="Z26" s="35"/>
    </row>
    <row r="27" spans="1:29" x14ac:dyDescent="0.25">
      <c r="J27" s="45" t="s">
        <v>27</v>
      </c>
      <c r="N27" s="22">
        <f>H8/1000</f>
        <v>5.1591899822252662E-3</v>
      </c>
      <c r="Y27" s="45" t="s">
        <v>55</v>
      </c>
      <c r="Z27" s="45" t="s">
        <v>17</v>
      </c>
      <c r="AC27" s="45">
        <v>0.48</v>
      </c>
    </row>
    <row r="28" spans="1:29" x14ac:dyDescent="0.25">
      <c r="J28" s="92" t="s">
        <v>25</v>
      </c>
      <c r="K28" s="92"/>
      <c r="L28" s="92"/>
      <c r="N28" s="22">
        <v>140</v>
      </c>
      <c r="X28" s="31" t="s">
        <v>64</v>
      </c>
      <c r="Y28" s="45" t="s">
        <v>14</v>
      </c>
      <c r="Z28" s="45">
        <f>Z11</f>
        <v>829</v>
      </c>
      <c r="AA28" s="45">
        <f>Z28</f>
        <v>829</v>
      </c>
    </row>
    <row r="29" spans="1:29" x14ac:dyDescent="0.25">
      <c r="J29" s="45" t="s">
        <v>26</v>
      </c>
      <c r="N29" s="45">
        <v>0.05</v>
      </c>
      <c r="X29" s="33" t="s">
        <v>74</v>
      </c>
      <c r="Y29" s="33" t="s">
        <v>58</v>
      </c>
      <c r="Z29" s="45">
        <f>AA29*AC27</f>
        <v>298.44</v>
      </c>
      <c r="AA29" s="45">
        <f>0.75*AA28</f>
        <v>621.75</v>
      </c>
    </row>
    <row r="30" spans="1:29" x14ac:dyDescent="0.25">
      <c r="J30" s="90" t="s">
        <v>28</v>
      </c>
      <c r="K30" s="90"/>
      <c r="N30" s="45">
        <f>M21</f>
        <v>13.200000000000001</v>
      </c>
      <c r="X30" s="45" t="s">
        <v>70</v>
      </c>
      <c r="Y30" s="33" t="s">
        <v>58</v>
      </c>
      <c r="Z30" s="45">
        <f>AA30*AC27</f>
        <v>79.584000000000003</v>
      </c>
      <c r="AA30" s="45">
        <f>0.2*AA28</f>
        <v>165.8</v>
      </c>
    </row>
    <row r="31" spans="1:29" x14ac:dyDescent="0.25">
      <c r="J31" s="90" t="s">
        <v>29</v>
      </c>
      <c r="K31" s="90"/>
      <c r="N31" s="45">
        <f>10.643*((N27/N28)^1.852)*(N30/(N29^4.87))</f>
        <v>1.8738116139745487</v>
      </c>
      <c r="X31" s="45" t="s">
        <v>75</v>
      </c>
      <c r="Y31" s="33" t="s">
        <v>58</v>
      </c>
      <c r="Z31" s="45">
        <f>AA31*AC27</f>
        <v>19.896000000000001</v>
      </c>
      <c r="AA31" s="45">
        <f>0.05*AA28</f>
        <v>41.45</v>
      </c>
    </row>
    <row r="32" spans="1:29" ht="30" x14ac:dyDescent="0.25">
      <c r="X32" s="30" t="s">
        <v>72</v>
      </c>
      <c r="Y32" s="45" t="s">
        <v>56</v>
      </c>
      <c r="Z32" s="45">
        <v>1</v>
      </c>
    </row>
    <row r="33" spans="10:26" x14ac:dyDescent="0.25">
      <c r="X33" s="45" t="s">
        <v>66</v>
      </c>
      <c r="Y33" s="45" t="s">
        <v>69</v>
      </c>
      <c r="Z33" s="45">
        <v>300</v>
      </c>
    </row>
    <row r="34" spans="10:26" ht="15.75" x14ac:dyDescent="0.25">
      <c r="J34" s="87" t="s">
        <v>30</v>
      </c>
      <c r="K34" s="87"/>
      <c r="L34" s="87"/>
      <c r="X34" s="45" t="s">
        <v>67</v>
      </c>
      <c r="Y34" s="45" t="s">
        <v>69</v>
      </c>
      <c r="Z34" s="45">
        <v>90</v>
      </c>
    </row>
    <row r="35" spans="10:26" x14ac:dyDescent="0.25">
      <c r="X35" s="45" t="s">
        <v>68</v>
      </c>
      <c r="Y35" s="45" t="s">
        <v>69</v>
      </c>
      <c r="Z35" s="45">
        <v>400</v>
      </c>
    </row>
    <row r="42" spans="10:26" x14ac:dyDescent="0.25">
      <c r="K42" s="45" t="s">
        <v>31</v>
      </c>
      <c r="L42" s="45">
        <f>((10.643*((N27/N28)^1.852))/N8)^(1/4.87)</f>
        <v>6.2402404680794513E-2</v>
      </c>
      <c r="M42" s="45" t="s">
        <v>14</v>
      </c>
    </row>
    <row r="45" spans="10:26" x14ac:dyDescent="0.25">
      <c r="J45" s="94" t="s">
        <v>32</v>
      </c>
      <c r="K45" s="94"/>
      <c r="L45" s="94"/>
      <c r="M45" s="94"/>
      <c r="N45" s="94"/>
    </row>
    <row r="46" spans="10:26" x14ac:dyDescent="0.25">
      <c r="J46" s="94"/>
      <c r="K46" s="94"/>
      <c r="L46" s="94"/>
      <c r="M46" s="94"/>
      <c r="N46" s="94"/>
    </row>
    <row r="47" spans="10:26" x14ac:dyDescent="0.25">
      <c r="J47" s="94"/>
      <c r="K47" s="94"/>
      <c r="L47" s="94"/>
      <c r="M47" s="94"/>
      <c r="N47" s="94"/>
    </row>
    <row r="50" spans="10:14" x14ac:dyDescent="0.25">
      <c r="J50" s="95" t="s">
        <v>33</v>
      </c>
      <c r="K50" s="95"/>
      <c r="L50" s="95"/>
      <c r="M50" s="95"/>
      <c r="N50" s="95"/>
    </row>
    <row r="51" spans="10:14" ht="15.75" x14ac:dyDescent="0.25">
      <c r="J51" s="11"/>
    </row>
    <row r="52" spans="10:14" ht="15.75" x14ac:dyDescent="0.25">
      <c r="J52" s="11"/>
    </row>
    <row r="53" spans="10:14" ht="15.75" x14ac:dyDescent="0.25">
      <c r="J53" s="11"/>
    </row>
    <row r="54" spans="10:14" ht="18" x14ac:dyDescent="0.25">
      <c r="J54" s="12" t="s">
        <v>34</v>
      </c>
    </row>
    <row r="55" spans="10:14" ht="15.75" x14ac:dyDescent="0.25">
      <c r="J55" s="11"/>
    </row>
    <row r="56" spans="10:14" x14ac:dyDescent="0.25">
      <c r="J56" s="13" t="s">
        <v>35</v>
      </c>
    </row>
    <row r="57" spans="10:14" x14ac:dyDescent="0.25">
      <c r="J57" s="13" t="s">
        <v>36</v>
      </c>
    </row>
    <row r="58" spans="10:14" x14ac:dyDescent="0.25">
      <c r="J58" s="96" t="s">
        <v>37</v>
      </c>
      <c r="K58" s="96"/>
      <c r="L58" s="96"/>
      <c r="M58" s="96"/>
      <c r="N58" s="96"/>
    </row>
    <row r="59" spans="10:14" x14ac:dyDescent="0.25">
      <c r="J59" s="93" t="s">
        <v>38</v>
      </c>
      <c r="K59" s="93"/>
      <c r="L59" s="93"/>
      <c r="M59" s="93"/>
      <c r="N59" s="93"/>
    </row>
    <row r="60" spans="10:14" x14ac:dyDescent="0.25">
      <c r="J60" s="14"/>
      <c r="K60" s="14"/>
      <c r="L60" s="14"/>
      <c r="M60" s="14"/>
      <c r="N60" s="14"/>
    </row>
    <row r="61" spans="10:14" x14ac:dyDescent="0.25">
      <c r="K61" s="15" t="s">
        <v>39</v>
      </c>
      <c r="L61" s="15">
        <v>0.5</v>
      </c>
      <c r="M61" s="15"/>
      <c r="N61" s="15"/>
    </row>
    <row r="62" spans="10:14" x14ac:dyDescent="0.25">
      <c r="K62" s="45" t="s">
        <v>40</v>
      </c>
      <c r="L62" s="45">
        <v>1.2</v>
      </c>
    </row>
    <row r="63" spans="10:14" x14ac:dyDescent="0.25">
      <c r="K63" s="45" t="s">
        <v>31</v>
      </c>
      <c r="L63" s="45">
        <f>L61^(1/4)*L62*(N27^0.5)</f>
        <v>7.2479386307281263E-2</v>
      </c>
    </row>
  </sheetData>
  <mergeCells count="24">
    <mergeCell ref="A2:B2"/>
    <mergeCell ref="A1:C1"/>
    <mergeCell ref="E1:H1"/>
    <mergeCell ref="J1:O1"/>
    <mergeCell ref="R1:U1"/>
    <mergeCell ref="X1:Z1"/>
    <mergeCell ref="J3:N3"/>
    <mergeCell ref="R7:T7"/>
    <mergeCell ref="J8:L8"/>
    <mergeCell ref="R8:U8"/>
    <mergeCell ref="J9:M9"/>
    <mergeCell ref="R9:S9"/>
    <mergeCell ref="J59:N59"/>
    <mergeCell ref="J10:L10"/>
    <mergeCell ref="R10:T10"/>
    <mergeCell ref="R11:T11"/>
    <mergeCell ref="J13:P13"/>
    <mergeCell ref="J28:L28"/>
    <mergeCell ref="J30:K30"/>
    <mergeCell ref="J31:K31"/>
    <mergeCell ref="J34:L34"/>
    <mergeCell ref="J45:N47"/>
    <mergeCell ref="J50:N50"/>
    <mergeCell ref="J58:N58"/>
  </mergeCells>
  <pageMargins left="0.511811024" right="0.511811024" top="0.78740157499999996" bottom="0.78740157499999996" header="0.31496062000000002" footer="0.31496062000000002"/>
  <drawing r:id="rId1"/>
  <legacyDrawing r:id="rId2"/>
  <oleObjects>
    <mc:AlternateContent xmlns:mc="http://schemas.openxmlformats.org/markup-compatibility/2006">
      <mc:Choice Requires="x14">
        <oleObject progId="Equation.3" shapeId="13313" r:id="rId3">
          <objectPr defaultSize="0" autoPict="0" r:id="rId4">
            <anchor moveWithCells="1">
              <from>
                <xdr:col>4</xdr:col>
                <xdr:colOff>304800</xdr:colOff>
                <xdr:row>1</xdr:row>
                <xdr:rowOff>57150</xdr:rowOff>
              </from>
              <to>
                <xdr:col>7</xdr:col>
                <xdr:colOff>200025</xdr:colOff>
                <xdr:row>4</xdr:row>
                <xdr:rowOff>19050</xdr:rowOff>
              </to>
            </anchor>
          </objectPr>
        </oleObject>
      </mc:Choice>
      <mc:Fallback>
        <oleObject progId="Equation.3" shapeId="13313" r:id="rId3"/>
      </mc:Fallback>
    </mc:AlternateContent>
  </oleObjects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C63"/>
  <sheetViews>
    <sheetView topLeftCell="Q4" workbookViewId="0">
      <selection activeCell="X8" sqref="X8"/>
    </sheetView>
  </sheetViews>
  <sheetFormatPr defaultRowHeight="15" x14ac:dyDescent="0.25"/>
  <cols>
    <col min="1" max="1" width="9.140625" style="22" customWidth="1"/>
    <col min="2" max="9" width="9.140625" style="22"/>
    <col min="10" max="10" width="18.85546875" style="22" bestFit="1" customWidth="1"/>
    <col min="11" max="11" width="11.5703125" style="22" customWidth="1"/>
    <col min="12" max="12" width="9.140625" style="22"/>
    <col min="13" max="13" width="9.140625" style="22" customWidth="1"/>
    <col min="14" max="14" width="9.5703125" style="22" bestFit="1" customWidth="1"/>
    <col min="15" max="23" width="9.140625" style="22"/>
    <col min="24" max="24" width="78.85546875" style="22" customWidth="1"/>
    <col min="25" max="16384" width="9.140625" style="22"/>
  </cols>
  <sheetData>
    <row r="1" spans="1:26" ht="15.75" x14ac:dyDescent="0.25">
      <c r="A1" s="106" t="s">
        <v>2</v>
      </c>
      <c r="B1" s="107"/>
      <c r="C1" s="107"/>
      <c r="D1" s="50"/>
      <c r="E1" s="100" t="s">
        <v>3</v>
      </c>
      <c r="F1" s="100"/>
      <c r="G1" s="100"/>
      <c r="H1" s="108"/>
      <c r="J1" s="100" t="s">
        <v>8</v>
      </c>
      <c r="K1" s="100"/>
      <c r="L1" s="100"/>
      <c r="M1" s="100"/>
      <c r="N1" s="100"/>
      <c r="O1" s="100"/>
      <c r="R1" s="109" t="s">
        <v>41</v>
      </c>
      <c r="S1" s="109"/>
      <c r="T1" s="109"/>
      <c r="U1" s="109"/>
      <c r="X1" s="100" t="s">
        <v>61</v>
      </c>
      <c r="Y1" s="100"/>
      <c r="Z1" s="100"/>
    </row>
    <row r="2" spans="1:26" x14ac:dyDescent="0.25">
      <c r="A2" s="105" t="s">
        <v>100</v>
      </c>
      <c r="B2" s="97"/>
    </row>
    <row r="3" spans="1:26" ht="15.75" x14ac:dyDescent="0.25">
      <c r="A3" s="52" t="s">
        <v>0</v>
      </c>
      <c r="B3" s="53" t="s">
        <v>1</v>
      </c>
      <c r="J3" s="100" t="s">
        <v>9</v>
      </c>
      <c r="K3" s="100"/>
      <c r="L3" s="100"/>
      <c r="M3" s="100"/>
      <c r="N3" s="100"/>
      <c r="X3" s="54" t="s">
        <v>62</v>
      </c>
    </row>
    <row r="4" spans="1:26" x14ac:dyDescent="0.25">
      <c r="A4" s="52">
        <v>0</v>
      </c>
      <c r="B4" s="55">
        <v>1000</v>
      </c>
    </row>
    <row r="5" spans="1:26" x14ac:dyDescent="0.25">
      <c r="A5" s="52">
        <v>1</v>
      </c>
      <c r="B5" s="56">
        <f>B4*1.05</f>
        <v>1050</v>
      </c>
      <c r="X5" s="22" t="s">
        <v>49</v>
      </c>
      <c r="Y5" s="22" t="s">
        <v>55</v>
      </c>
      <c r="Z5" s="22" t="s">
        <v>17</v>
      </c>
    </row>
    <row r="6" spans="1:26" x14ac:dyDescent="0.25">
      <c r="A6" s="52">
        <v>2</v>
      </c>
      <c r="B6" s="56">
        <f t="shared" ref="B6:B24" si="0">B5*1.05</f>
        <v>1102.5</v>
      </c>
      <c r="E6" s="22" t="s">
        <v>4</v>
      </c>
      <c r="F6" s="22" t="s">
        <v>5</v>
      </c>
      <c r="G6" s="22" t="s">
        <v>6</v>
      </c>
      <c r="H6" s="22" t="s">
        <v>7</v>
      </c>
    </row>
    <row r="7" spans="1:26" x14ac:dyDescent="0.25">
      <c r="A7" s="52">
        <v>3</v>
      </c>
      <c r="B7" s="56">
        <f t="shared" si="0"/>
        <v>1157.625</v>
      </c>
      <c r="E7" s="22">
        <v>1.2</v>
      </c>
      <c r="F7" s="22">
        <v>200</v>
      </c>
      <c r="G7" s="23">
        <f>B24</f>
        <v>2653.2977051444223</v>
      </c>
      <c r="H7" s="22">
        <f>(E7*F7*G7)/86400</f>
        <v>7.3702714031789505</v>
      </c>
      <c r="R7" s="97" t="s">
        <v>42</v>
      </c>
      <c r="S7" s="97"/>
      <c r="T7" s="97"/>
      <c r="X7" s="77" t="s">
        <v>125</v>
      </c>
      <c r="Y7" s="22" t="s">
        <v>56</v>
      </c>
      <c r="Z7" s="22">
        <v>2</v>
      </c>
    </row>
    <row r="8" spans="1:26" x14ac:dyDescent="0.25">
      <c r="A8" s="52">
        <v>4</v>
      </c>
      <c r="B8" s="56">
        <f t="shared" si="0"/>
        <v>1215.5062500000001</v>
      </c>
      <c r="H8" s="22">
        <f>H7*1.75</f>
        <v>12.897974955563164</v>
      </c>
      <c r="J8" s="97" t="s">
        <v>10</v>
      </c>
      <c r="K8" s="97"/>
      <c r="L8" s="97"/>
      <c r="N8" s="57">
        <f>N9/N10</f>
        <v>5.204460966542751E-2</v>
      </c>
      <c r="O8" s="22" t="s">
        <v>13</v>
      </c>
      <c r="R8" s="97" t="s">
        <v>43</v>
      </c>
      <c r="S8" s="97"/>
      <c r="T8" s="97"/>
      <c r="U8" s="97"/>
      <c r="V8" s="22">
        <f xml:space="preserve"> 1000</f>
        <v>1000</v>
      </c>
      <c r="X8" s="77" t="s">
        <v>126</v>
      </c>
      <c r="Y8" s="22" t="s">
        <v>56</v>
      </c>
      <c r="Z8" s="22">
        <v>1</v>
      </c>
    </row>
    <row r="9" spans="1:26" x14ac:dyDescent="0.25">
      <c r="A9" s="52">
        <v>5</v>
      </c>
      <c r="B9" s="56">
        <f t="shared" si="0"/>
        <v>1276.2815625000003</v>
      </c>
      <c r="J9" s="97" t="s">
        <v>11</v>
      </c>
      <c r="K9" s="97"/>
      <c r="L9" s="97"/>
      <c r="M9" s="97"/>
      <c r="N9" s="22">
        <v>14</v>
      </c>
      <c r="O9" s="22" t="s">
        <v>14</v>
      </c>
      <c r="R9" s="97" t="s">
        <v>44</v>
      </c>
      <c r="S9" s="97"/>
      <c r="X9" s="22" t="s">
        <v>91</v>
      </c>
      <c r="Y9" s="22" t="s">
        <v>56</v>
      </c>
      <c r="Z9" s="22">
        <v>4</v>
      </c>
    </row>
    <row r="10" spans="1:26" x14ac:dyDescent="0.25">
      <c r="A10" s="52">
        <v>6</v>
      </c>
      <c r="B10" s="56">
        <f t="shared" si="0"/>
        <v>1340.0956406250004</v>
      </c>
      <c r="J10" s="97" t="s">
        <v>12</v>
      </c>
      <c r="K10" s="97"/>
      <c r="L10" s="97"/>
      <c r="N10" s="22">
        <v>269</v>
      </c>
      <c r="O10" s="22" t="s">
        <v>14</v>
      </c>
      <c r="R10" s="97" t="s">
        <v>45</v>
      </c>
      <c r="S10" s="97"/>
      <c r="T10" s="97"/>
      <c r="X10" s="22" t="s">
        <v>90</v>
      </c>
      <c r="Y10" s="22" t="s">
        <v>56</v>
      </c>
      <c r="Z10" s="22">
        <v>5</v>
      </c>
    </row>
    <row r="11" spans="1:26" x14ac:dyDescent="0.25">
      <c r="A11" s="52">
        <v>7</v>
      </c>
      <c r="B11" s="56">
        <f t="shared" si="0"/>
        <v>1407.1004226562504</v>
      </c>
      <c r="D11" s="22">
        <f>200*5</f>
        <v>1000</v>
      </c>
      <c r="R11" s="99" t="s">
        <v>48</v>
      </c>
      <c r="S11" s="99"/>
      <c r="T11" s="99"/>
      <c r="V11" s="58">
        <v>0.7</v>
      </c>
      <c r="X11" s="22" t="s">
        <v>103</v>
      </c>
      <c r="Y11" s="22" t="s">
        <v>14</v>
      </c>
      <c r="Z11" s="22">
        <v>3715</v>
      </c>
    </row>
    <row r="12" spans="1:26" x14ac:dyDescent="0.25">
      <c r="A12" s="52">
        <v>8</v>
      </c>
      <c r="B12" s="56">
        <f t="shared" si="0"/>
        <v>1477.4554437890631</v>
      </c>
      <c r="R12" s="22" t="s">
        <v>46</v>
      </c>
      <c r="S12" s="22">
        <f>V8*N27*(N9+M21)/(75*0.7)</f>
        <v>6.6823794055489163</v>
      </c>
      <c r="T12" s="22" t="s">
        <v>47</v>
      </c>
      <c r="X12" s="28" t="s">
        <v>104</v>
      </c>
      <c r="Y12" s="22" t="s">
        <v>56</v>
      </c>
      <c r="Z12" s="29">
        <v>1</v>
      </c>
    </row>
    <row r="13" spans="1:26" ht="15.75" x14ac:dyDescent="0.25">
      <c r="A13" s="52">
        <v>9</v>
      </c>
      <c r="B13" s="56">
        <f t="shared" si="0"/>
        <v>1551.3282159785163</v>
      </c>
      <c r="J13" s="100" t="s">
        <v>15</v>
      </c>
      <c r="K13" s="100"/>
      <c r="L13" s="100"/>
      <c r="M13" s="100"/>
      <c r="N13" s="100"/>
      <c r="O13" s="100"/>
      <c r="P13" s="100"/>
      <c r="Q13" s="59"/>
      <c r="X13" s="60" t="s">
        <v>105</v>
      </c>
      <c r="Y13" s="22" t="s">
        <v>56</v>
      </c>
      <c r="Z13" s="29">
        <v>2</v>
      </c>
    </row>
    <row r="14" spans="1:26" x14ac:dyDescent="0.25">
      <c r="A14" s="52">
        <v>10</v>
      </c>
      <c r="B14" s="56">
        <f t="shared" si="0"/>
        <v>1628.8946267774422</v>
      </c>
      <c r="X14" s="28" t="s">
        <v>73</v>
      </c>
      <c r="Y14" s="22" t="s">
        <v>56</v>
      </c>
      <c r="Z14" s="61">
        <v>1</v>
      </c>
    </row>
    <row r="15" spans="1:26" ht="15" customHeight="1" x14ac:dyDescent="0.25">
      <c r="A15" s="52">
        <v>11</v>
      </c>
      <c r="B15" s="56">
        <f t="shared" si="0"/>
        <v>1710.3393581163143</v>
      </c>
      <c r="J15" s="18" t="s">
        <v>16</v>
      </c>
      <c r="K15" s="18" t="s">
        <v>17</v>
      </c>
      <c r="L15" s="18" t="s">
        <v>18</v>
      </c>
      <c r="M15" s="62" t="s">
        <v>19</v>
      </c>
      <c r="X15" s="22" t="s">
        <v>106</v>
      </c>
      <c r="Y15" s="22" t="s">
        <v>56</v>
      </c>
      <c r="Z15" s="29">
        <v>1</v>
      </c>
    </row>
    <row r="16" spans="1:26" ht="15" customHeight="1" x14ac:dyDescent="0.25">
      <c r="A16" s="52">
        <v>12</v>
      </c>
      <c r="B16" s="56">
        <f t="shared" si="0"/>
        <v>1795.8563260221301</v>
      </c>
      <c r="J16" s="18" t="s">
        <v>20</v>
      </c>
      <c r="K16" s="20">
        <v>1</v>
      </c>
      <c r="L16" s="20">
        <v>0.4</v>
      </c>
      <c r="M16" s="20">
        <f>L16*K16</f>
        <v>0.4</v>
      </c>
      <c r="X16" s="54" t="s">
        <v>78</v>
      </c>
      <c r="Y16" s="54"/>
      <c r="Z16" s="54"/>
    </row>
    <row r="17" spans="1:29" x14ac:dyDescent="0.25">
      <c r="A17" s="52">
        <v>13</v>
      </c>
      <c r="B17" s="56">
        <f t="shared" si="0"/>
        <v>1885.6491423232367</v>
      </c>
      <c r="J17" s="18" t="s">
        <v>21</v>
      </c>
      <c r="K17" s="20">
        <v>1</v>
      </c>
      <c r="L17" s="20">
        <v>6.4</v>
      </c>
      <c r="M17" s="20">
        <f t="shared" ref="M17:M19" si="1">L17*K17</f>
        <v>6.4</v>
      </c>
      <c r="X17" s="22" t="s">
        <v>49</v>
      </c>
      <c r="Y17" s="22" t="s">
        <v>55</v>
      </c>
      <c r="Z17" s="22" t="s">
        <v>17</v>
      </c>
    </row>
    <row r="18" spans="1:29" x14ac:dyDescent="0.25">
      <c r="A18" s="52">
        <v>14</v>
      </c>
      <c r="B18" s="56">
        <f t="shared" si="0"/>
        <v>1979.9315994393985</v>
      </c>
      <c r="J18" s="18" t="s">
        <v>22</v>
      </c>
      <c r="K18" s="20">
        <v>4</v>
      </c>
      <c r="L18" s="20">
        <v>1.1000000000000001</v>
      </c>
      <c r="M18" s="20">
        <f t="shared" si="1"/>
        <v>4.4000000000000004</v>
      </c>
    </row>
    <row r="19" spans="1:29" x14ac:dyDescent="0.25">
      <c r="A19" s="52">
        <v>15</v>
      </c>
      <c r="B19" s="56">
        <f t="shared" si="0"/>
        <v>2078.9281794113685</v>
      </c>
      <c r="J19" s="18" t="s">
        <v>23</v>
      </c>
      <c r="K19" s="20">
        <v>5</v>
      </c>
      <c r="L19" s="20">
        <v>0.4</v>
      </c>
      <c r="M19" s="20">
        <f t="shared" si="1"/>
        <v>2</v>
      </c>
      <c r="X19" s="22" t="s">
        <v>50</v>
      </c>
      <c r="Y19" s="22" t="s">
        <v>57</v>
      </c>
      <c r="Z19" s="22">
        <v>90</v>
      </c>
    </row>
    <row r="20" spans="1:29" x14ac:dyDescent="0.25">
      <c r="A20" s="52">
        <v>16</v>
      </c>
      <c r="B20" s="56">
        <f t="shared" si="0"/>
        <v>2182.874588381937</v>
      </c>
      <c r="J20" s="18"/>
      <c r="K20" s="20"/>
      <c r="L20" s="20"/>
      <c r="M20" s="20"/>
      <c r="X20" s="22" t="s">
        <v>51</v>
      </c>
      <c r="Y20" s="22" t="s">
        <v>58</v>
      </c>
      <c r="Z20" s="22">
        <v>8</v>
      </c>
    </row>
    <row r="21" spans="1:29" x14ac:dyDescent="0.25">
      <c r="A21" s="52">
        <v>17</v>
      </c>
      <c r="B21" s="56">
        <f t="shared" si="0"/>
        <v>2292.0183178010338</v>
      </c>
      <c r="L21" s="63" t="s">
        <v>24</v>
      </c>
      <c r="M21" s="22">
        <f>SUM(M16:M20)</f>
        <v>13.200000000000001</v>
      </c>
      <c r="X21" s="22" t="s">
        <v>77</v>
      </c>
      <c r="Y21" s="22" t="s">
        <v>59</v>
      </c>
      <c r="Z21" s="22">
        <v>380</v>
      </c>
    </row>
    <row r="22" spans="1:29" x14ac:dyDescent="0.25">
      <c r="A22" s="52">
        <v>18</v>
      </c>
      <c r="B22" s="56">
        <f t="shared" si="0"/>
        <v>2406.6192336910858</v>
      </c>
      <c r="X22" s="22" t="s">
        <v>71</v>
      </c>
      <c r="Y22" s="22" t="s">
        <v>60</v>
      </c>
      <c r="Z22" s="22">
        <v>450</v>
      </c>
    </row>
    <row r="23" spans="1:29" x14ac:dyDescent="0.25">
      <c r="A23" s="52">
        <v>19</v>
      </c>
      <c r="B23" s="56">
        <f t="shared" si="0"/>
        <v>2526.9501953756403</v>
      </c>
      <c r="X23" s="22" t="s">
        <v>52</v>
      </c>
      <c r="Y23" s="22" t="s">
        <v>60</v>
      </c>
      <c r="Z23" s="22">
        <v>450</v>
      </c>
    </row>
    <row r="24" spans="1:29" x14ac:dyDescent="0.25">
      <c r="A24" s="64">
        <v>20</v>
      </c>
      <c r="B24" s="56">
        <f t="shared" si="0"/>
        <v>2653.2977051444223</v>
      </c>
      <c r="X24" s="22" t="s">
        <v>53</v>
      </c>
      <c r="Y24" s="22" t="s">
        <v>59</v>
      </c>
      <c r="Z24" s="22">
        <v>10</v>
      </c>
    </row>
    <row r="25" spans="1:29" x14ac:dyDescent="0.25">
      <c r="X25" s="22" t="s">
        <v>54</v>
      </c>
      <c r="Y25" s="22" t="s">
        <v>58</v>
      </c>
      <c r="Z25" s="22">
        <v>140</v>
      </c>
    </row>
    <row r="26" spans="1:29" ht="15.75" x14ac:dyDescent="0.25">
      <c r="X26" s="65" t="s">
        <v>63</v>
      </c>
      <c r="Y26" s="66"/>
      <c r="Z26" s="66"/>
    </row>
    <row r="27" spans="1:29" x14ac:dyDescent="0.25">
      <c r="J27" s="22" t="s">
        <v>27</v>
      </c>
      <c r="N27" s="22">
        <f>H8/1000</f>
        <v>1.2897974955563165E-2</v>
      </c>
      <c r="Y27" s="22" t="s">
        <v>55</v>
      </c>
      <c r="Z27" s="22" t="s">
        <v>17</v>
      </c>
      <c r="AC27" s="22">
        <v>0.48</v>
      </c>
    </row>
    <row r="28" spans="1:29" x14ac:dyDescent="0.25">
      <c r="J28" s="101" t="s">
        <v>25</v>
      </c>
      <c r="K28" s="101"/>
      <c r="L28" s="101"/>
      <c r="N28" s="22">
        <v>140</v>
      </c>
      <c r="X28" s="67" t="s">
        <v>64</v>
      </c>
      <c r="Y28" s="22" t="s">
        <v>14</v>
      </c>
      <c r="Z28" s="22">
        <f>Z11</f>
        <v>3715</v>
      </c>
      <c r="AA28" s="22">
        <f>Z28</f>
        <v>3715</v>
      </c>
    </row>
    <row r="29" spans="1:29" x14ac:dyDescent="0.25">
      <c r="J29" s="22" t="s">
        <v>26</v>
      </c>
      <c r="N29" s="22">
        <v>0.05</v>
      </c>
      <c r="X29" s="68" t="s">
        <v>74</v>
      </c>
      <c r="Y29" s="68" t="s">
        <v>58</v>
      </c>
      <c r="Z29" s="22">
        <f>AA29*AC27</f>
        <v>1337.3999999999999</v>
      </c>
      <c r="AA29" s="22">
        <f>0.75*AA28</f>
        <v>2786.25</v>
      </c>
    </row>
    <row r="30" spans="1:29" x14ac:dyDescent="0.25">
      <c r="J30" s="97" t="s">
        <v>28</v>
      </c>
      <c r="K30" s="97"/>
      <c r="N30" s="22">
        <f>M21</f>
        <v>13.200000000000001</v>
      </c>
      <c r="X30" s="22" t="s">
        <v>70</v>
      </c>
      <c r="Y30" s="68" t="s">
        <v>58</v>
      </c>
      <c r="Z30" s="22">
        <f>AA30*AC27</f>
        <v>356.64</v>
      </c>
      <c r="AA30" s="22">
        <f>0.2*AA28</f>
        <v>743</v>
      </c>
    </row>
    <row r="31" spans="1:29" x14ac:dyDescent="0.25">
      <c r="J31" s="97" t="s">
        <v>29</v>
      </c>
      <c r="K31" s="97"/>
      <c r="N31" s="22">
        <f>10.643*((N27/N28)^1.852)*(N30/(N29^4.87))</f>
        <v>10.226118534091905</v>
      </c>
      <c r="X31" s="22" t="s">
        <v>75</v>
      </c>
      <c r="Y31" s="68" t="s">
        <v>58</v>
      </c>
      <c r="Z31" s="22">
        <f>AA31*AC27</f>
        <v>89.16</v>
      </c>
      <c r="AA31" s="22">
        <f>0.05*AA28</f>
        <v>185.75</v>
      </c>
    </row>
    <row r="32" spans="1:29" ht="30" x14ac:dyDescent="0.25">
      <c r="X32" s="69" t="s">
        <v>72</v>
      </c>
      <c r="Y32" s="22" t="s">
        <v>56</v>
      </c>
      <c r="Z32" s="22">
        <v>1</v>
      </c>
    </row>
    <row r="33" spans="10:26" x14ac:dyDescent="0.25">
      <c r="X33" s="22" t="s">
        <v>66</v>
      </c>
      <c r="Y33" s="22" t="s">
        <v>69</v>
      </c>
      <c r="Z33" s="22">
        <v>300</v>
      </c>
    </row>
    <row r="34" spans="10:26" ht="15.75" x14ac:dyDescent="0.25">
      <c r="J34" s="100" t="s">
        <v>30</v>
      </c>
      <c r="K34" s="100"/>
      <c r="L34" s="100"/>
      <c r="X34" s="22" t="s">
        <v>67</v>
      </c>
      <c r="Y34" s="22" t="s">
        <v>69</v>
      </c>
      <c r="Z34" s="22">
        <v>90</v>
      </c>
    </row>
    <row r="35" spans="10:26" x14ac:dyDescent="0.25">
      <c r="X35" s="22" t="s">
        <v>68</v>
      </c>
      <c r="Y35" s="22" t="s">
        <v>69</v>
      </c>
      <c r="Z35" s="22">
        <v>400</v>
      </c>
    </row>
    <row r="42" spans="10:26" x14ac:dyDescent="0.25">
      <c r="K42" s="22" t="s">
        <v>31</v>
      </c>
      <c r="L42" s="22">
        <f>((10.643*((N27/N28)^1.852))/N8)^(1/4.87)</f>
        <v>8.705292722432198E-2</v>
      </c>
      <c r="M42" s="22" t="s">
        <v>14</v>
      </c>
    </row>
    <row r="45" spans="10:26" x14ac:dyDescent="0.25">
      <c r="J45" s="102" t="s">
        <v>32</v>
      </c>
      <c r="K45" s="102"/>
      <c r="L45" s="102"/>
      <c r="M45" s="102"/>
      <c r="N45" s="102"/>
    </row>
    <row r="46" spans="10:26" x14ac:dyDescent="0.25">
      <c r="J46" s="102"/>
      <c r="K46" s="102"/>
      <c r="L46" s="102"/>
      <c r="M46" s="102"/>
      <c r="N46" s="102"/>
    </row>
    <row r="47" spans="10:26" x14ac:dyDescent="0.25">
      <c r="J47" s="102"/>
      <c r="K47" s="102"/>
      <c r="L47" s="102"/>
      <c r="M47" s="102"/>
      <c r="N47" s="102"/>
    </row>
    <row r="49" spans="10:20" x14ac:dyDescent="0.25">
      <c r="T49" s="53"/>
    </row>
    <row r="50" spans="10:20" x14ac:dyDescent="0.25">
      <c r="J50" s="103" t="s">
        <v>33</v>
      </c>
      <c r="K50" s="103"/>
      <c r="L50" s="103"/>
      <c r="M50" s="103"/>
      <c r="N50" s="103"/>
    </row>
    <row r="51" spans="10:20" ht="15.75" x14ac:dyDescent="0.25">
      <c r="J51" s="70"/>
    </row>
    <row r="52" spans="10:20" ht="15.75" x14ac:dyDescent="0.25">
      <c r="J52" s="70"/>
    </row>
    <row r="53" spans="10:20" ht="15.75" x14ac:dyDescent="0.25">
      <c r="J53" s="70"/>
    </row>
    <row r="54" spans="10:20" ht="18" x14ac:dyDescent="0.25">
      <c r="J54" s="71" t="s">
        <v>34</v>
      </c>
    </row>
    <row r="55" spans="10:20" ht="15.75" x14ac:dyDescent="0.25">
      <c r="J55" s="70"/>
    </row>
    <row r="56" spans="10:20" x14ac:dyDescent="0.25">
      <c r="J56" s="72" t="s">
        <v>35</v>
      </c>
    </row>
    <row r="57" spans="10:20" x14ac:dyDescent="0.25">
      <c r="J57" s="72" t="s">
        <v>36</v>
      </c>
    </row>
    <row r="58" spans="10:20" x14ac:dyDescent="0.25">
      <c r="J58" s="104" t="s">
        <v>37</v>
      </c>
      <c r="K58" s="104"/>
      <c r="L58" s="104"/>
      <c r="M58" s="104"/>
      <c r="N58" s="104"/>
    </row>
    <row r="59" spans="10:20" x14ac:dyDescent="0.25">
      <c r="J59" s="98" t="s">
        <v>38</v>
      </c>
      <c r="K59" s="98"/>
      <c r="L59" s="98"/>
      <c r="M59" s="98"/>
      <c r="N59" s="98"/>
    </row>
    <row r="60" spans="10:20" x14ac:dyDescent="0.25">
      <c r="J60" s="73"/>
      <c r="K60" s="73"/>
      <c r="L60" s="73"/>
      <c r="M60" s="73"/>
      <c r="N60" s="73"/>
    </row>
    <row r="61" spans="10:20" x14ac:dyDescent="0.25">
      <c r="K61" s="74" t="s">
        <v>39</v>
      </c>
      <c r="L61" s="74">
        <v>0.5</v>
      </c>
      <c r="M61" s="74"/>
      <c r="N61" s="74"/>
    </row>
    <row r="62" spans="10:20" x14ac:dyDescent="0.25">
      <c r="K62" s="22" t="s">
        <v>40</v>
      </c>
      <c r="L62" s="22">
        <v>1.2</v>
      </c>
    </row>
    <row r="63" spans="10:20" x14ac:dyDescent="0.25">
      <c r="K63" s="22" t="s">
        <v>31</v>
      </c>
      <c r="L63" s="22">
        <f>L61^(1/4)*L62*(N27^0.5)</f>
        <v>0.11459997207111473</v>
      </c>
    </row>
  </sheetData>
  <mergeCells count="24">
    <mergeCell ref="A2:B2"/>
    <mergeCell ref="A1:C1"/>
    <mergeCell ref="E1:H1"/>
    <mergeCell ref="J1:O1"/>
    <mergeCell ref="R1:U1"/>
    <mergeCell ref="X1:Z1"/>
    <mergeCell ref="J3:N3"/>
    <mergeCell ref="R7:T7"/>
    <mergeCell ref="J8:L8"/>
    <mergeCell ref="R8:U8"/>
    <mergeCell ref="J9:M9"/>
    <mergeCell ref="R9:S9"/>
    <mergeCell ref="J59:N59"/>
    <mergeCell ref="J10:L10"/>
    <mergeCell ref="R10:T10"/>
    <mergeCell ref="R11:T11"/>
    <mergeCell ref="J13:P13"/>
    <mergeCell ref="J28:L28"/>
    <mergeCell ref="J30:K30"/>
    <mergeCell ref="J31:K31"/>
    <mergeCell ref="J34:L34"/>
    <mergeCell ref="J45:N47"/>
    <mergeCell ref="J50:N50"/>
    <mergeCell ref="J58:N58"/>
  </mergeCells>
  <pageMargins left="0.511811024" right="0.511811024" top="0.78740157499999996" bottom="0.78740157499999996" header="0.31496062000000002" footer="0.31496062000000002"/>
  <drawing r:id="rId1"/>
  <legacyDrawing r:id="rId2"/>
  <oleObjects>
    <mc:AlternateContent xmlns:mc="http://schemas.openxmlformats.org/markup-compatibility/2006">
      <mc:Choice Requires="x14">
        <oleObject progId="Equation.3" shapeId="14337" r:id="rId3">
          <objectPr defaultSize="0" autoPict="0" r:id="rId4">
            <anchor moveWithCells="1">
              <from>
                <xdr:col>4</xdr:col>
                <xdr:colOff>304800</xdr:colOff>
                <xdr:row>1</xdr:row>
                <xdr:rowOff>57150</xdr:rowOff>
              </from>
              <to>
                <xdr:col>7</xdr:col>
                <xdr:colOff>200025</xdr:colOff>
                <xdr:row>4</xdr:row>
                <xdr:rowOff>19050</xdr:rowOff>
              </to>
            </anchor>
          </objectPr>
        </oleObject>
      </mc:Choice>
      <mc:Fallback>
        <oleObject progId="Equation.3" shapeId="14337" r:id="rId3"/>
      </mc:Fallback>
    </mc:AlternateContent>
  </oleObjects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C63"/>
  <sheetViews>
    <sheetView topLeftCell="B1" workbookViewId="0">
      <selection activeCell="D11" sqref="D11"/>
    </sheetView>
  </sheetViews>
  <sheetFormatPr defaultRowHeight="15" x14ac:dyDescent="0.25"/>
  <cols>
    <col min="1" max="1" width="9.140625" style="45" customWidth="1"/>
    <col min="2" max="9" width="9.140625" style="45"/>
    <col min="10" max="10" width="18.85546875" style="45" bestFit="1" customWidth="1"/>
    <col min="11" max="11" width="11.5703125" style="45" customWidth="1"/>
    <col min="12" max="12" width="9.140625" style="45"/>
    <col min="13" max="13" width="9.140625" style="45" customWidth="1"/>
    <col min="14" max="14" width="9.5703125" style="45" bestFit="1" customWidth="1"/>
    <col min="15" max="23" width="9.140625" style="45"/>
    <col min="24" max="24" width="78.85546875" style="45" customWidth="1"/>
    <col min="25" max="16384" width="9.140625" style="45"/>
  </cols>
  <sheetData>
    <row r="1" spans="1:26" ht="15.75" x14ac:dyDescent="0.25">
      <c r="A1" s="85" t="s">
        <v>2</v>
      </c>
      <c r="B1" s="86"/>
      <c r="C1" s="86"/>
      <c r="D1" s="5"/>
      <c r="E1" s="87" t="s">
        <v>3</v>
      </c>
      <c r="F1" s="87"/>
      <c r="G1" s="87"/>
      <c r="H1" s="88"/>
      <c r="J1" s="87" t="s">
        <v>8</v>
      </c>
      <c r="K1" s="87"/>
      <c r="L1" s="87"/>
      <c r="M1" s="87"/>
      <c r="N1" s="87"/>
      <c r="O1" s="87"/>
      <c r="R1" s="89" t="s">
        <v>41</v>
      </c>
      <c r="S1" s="89"/>
      <c r="T1" s="89"/>
      <c r="U1" s="89"/>
      <c r="X1" s="87" t="s">
        <v>61</v>
      </c>
      <c r="Y1" s="87"/>
      <c r="Z1" s="87"/>
    </row>
    <row r="2" spans="1:26" x14ac:dyDescent="0.25">
      <c r="A2" s="83" t="s">
        <v>101</v>
      </c>
      <c r="B2" s="90"/>
    </row>
    <row r="3" spans="1:26" ht="15.75" x14ac:dyDescent="0.25">
      <c r="A3" s="1" t="s">
        <v>0</v>
      </c>
      <c r="B3" s="2" t="s">
        <v>1</v>
      </c>
      <c r="J3" s="87" t="s">
        <v>9</v>
      </c>
      <c r="K3" s="87"/>
      <c r="L3" s="87"/>
      <c r="M3" s="87"/>
      <c r="N3" s="87"/>
      <c r="X3" s="44" t="s">
        <v>62</v>
      </c>
    </row>
    <row r="4" spans="1:26" x14ac:dyDescent="0.25">
      <c r="A4" s="1">
        <v>0</v>
      </c>
      <c r="B4" s="34">
        <v>90</v>
      </c>
    </row>
    <row r="5" spans="1:26" x14ac:dyDescent="0.25">
      <c r="A5" s="1">
        <v>1</v>
      </c>
      <c r="B5" s="3">
        <f>B4*1.05</f>
        <v>94.5</v>
      </c>
      <c r="X5" s="45" t="s">
        <v>49</v>
      </c>
      <c r="Y5" s="45" t="s">
        <v>55</v>
      </c>
      <c r="Z5" s="45" t="s">
        <v>17</v>
      </c>
    </row>
    <row r="6" spans="1:26" x14ac:dyDescent="0.25">
      <c r="A6" s="1">
        <v>2</v>
      </c>
      <c r="B6" s="3">
        <f t="shared" ref="B6:B24" si="0">B5*1.05</f>
        <v>99.225000000000009</v>
      </c>
      <c r="E6" s="45" t="s">
        <v>4</v>
      </c>
      <c r="F6" s="45" t="s">
        <v>5</v>
      </c>
      <c r="G6" s="45" t="s">
        <v>6</v>
      </c>
      <c r="H6" s="45" t="s">
        <v>7</v>
      </c>
    </row>
    <row r="7" spans="1:26" x14ac:dyDescent="0.25">
      <c r="A7" s="1">
        <v>3</v>
      </c>
      <c r="B7" s="3">
        <f t="shared" si="0"/>
        <v>104.18625000000002</v>
      </c>
      <c r="E7" s="45">
        <v>1.2</v>
      </c>
      <c r="F7" s="45">
        <v>200</v>
      </c>
      <c r="G7" s="23">
        <f>B24</f>
        <v>238.79679346299804</v>
      </c>
      <c r="H7" s="22">
        <f>(E7*F7*G7)/86400</f>
        <v>0.66332442628610566</v>
      </c>
      <c r="R7" s="90" t="s">
        <v>42</v>
      </c>
      <c r="S7" s="90"/>
      <c r="T7" s="90"/>
      <c r="X7" s="45" t="s">
        <v>20</v>
      </c>
      <c r="Y7" s="45" t="s">
        <v>56</v>
      </c>
      <c r="Z7" s="45">
        <v>2</v>
      </c>
    </row>
    <row r="8" spans="1:26" x14ac:dyDescent="0.25">
      <c r="A8" s="1">
        <v>4</v>
      </c>
      <c r="B8" s="3">
        <f t="shared" si="0"/>
        <v>109.39556250000003</v>
      </c>
      <c r="H8" s="45">
        <f>H7*1.75</f>
        <v>1.160817746000685</v>
      </c>
      <c r="J8" s="90" t="s">
        <v>10</v>
      </c>
      <c r="K8" s="90"/>
      <c r="L8" s="90"/>
      <c r="N8" s="6">
        <f>N9/N10</f>
        <v>7.1661237785016291E-2</v>
      </c>
      <c r="O8" s="45" t="s">
        <v>13</v>
      </c>
      <c r="R8" s="90" t="s">
        <v>43</v>
      </c>
      <c r="S8" s="90"/>
      <c r="T8" s="90"/>
      <c r="U8" s="90"/>
      <c r="V8" s="45">
        <f xml:space="preserve"> 1000</f>
        <v>1000</v>
      </c>
      <c r="X8" s="45" t="s">
        <v>21</v>
      </c>
      <c r="Y8" s="45" t="s">
        <v>56</v>
      </c>
      <c r="Z8" s="45">
        <v>1</v>
      </c>
    </row>
    <row r="9" spans="1:26" x14ac:dyDescent="0.25">
      <c r="A9" s="1">
        <v>5</v>
      </c>
      <c r="B9" s="3">
        <f t="shared" si="0"/>
        <v>114.86534062500003</v>
      </c>
      <c r="J9" s="90" t="s">
        <v>11</v>
      </c>
      <c r="K9" s="90"/>
      <c r="L9" s="90"/>
      <c r="M9" s="90"/>
      <c r="N9" s="21">
        <v>22</v>
      </c>
      <c r="O9" s="45" t="s">
        <v>14</v>
      </c>
      <c r="R9" s="90" t="s">
        <v>44</v>
      </c>
      <c r="S9" s="90"/>
      <c r="X9" s="45" t="s">
        <v>91</v>
      </c>
      <c r="Y9" s="45" t="s">
        <v>56</v>
      </c>
      <c r="Z9" s="45">
        <v>4</v>
      </c>
    </row>
    <row r="10" spans="1:26" x14ac:dyDescent="0.25">
      <c r="A10" s="1">
        <v>6</v>
      </c>
      <c r="B10" s="3">
        <f t="shared" si="0"/>
        <v>120.60860765625004</v>
      </c>
      <c r="J10" s="90" t="s">
        <v>12</v>
      </c>
      <c r="K10" s="90"/>
      <c r="L10" s="90"/>
      <c r="N10" s="21">
        <v>307</v>
      </c>
      <c r="O10" s="45" t="s">
        <v>14</v>
      </c>
      <c r="R10" s="90" t="s">
        <v>45</v>
      </c>
      <c r="S10" s="90"/>
      <c r="T10" s="90"/>
      <c r="X10" s="45" t="s">
        <v>90</v>
      </c>
      <c r="Y10" s="45" t="s">
        <v>56</v>
      </c>
      <c r="Z10" s="45">
        <v>5</v>
      </c>
    </row>
    <row r="11" spans="1:26" x14ac:dyDescent="0.25">
      <c r="A11" s="1">
        <v>7</v>
      </c>
      <c r="B11" s="3">
        <f t="shared" si="0"/>
        <v>126.63903803906256</v>
      </c>
      <c r="D11" s="45">
        <f>18*5</f>
        <v>90</v>
      </c>
      <c r="R11" s="91" t="s">
        <v>48</v>
      </c>
      <c r="S11" s="91"/>
      <c r="T11" s="91"/>
      <c r="V11" s="16">
        <v>0.7</v>
      </c>
      <c r="X11" s="45" t="s">
        <v>80</v>
      </c>
      <c r="Y11" s="45" t="s">
        <v>14</v>
      </c>
      <c r="Z11" s="45">
        <v>307</v>
      </c>
    </row>
    <row r="12" spans="1:26" x14ac:dyDescent="0.25">
      <c r="A12" s="1">
        <v>8</v>
      </c>
      <c r="B12" s="3">
        <f t="shared" si="0"/>
        <v>132.97098994101569</v>
      </c>
      <c r="R12" s="45" t="s">
        <v>46</v>
      </c>
      <c r="S12" s="45">
        <f>V8*N27*(N9+M21)/(75*0.7)</f>
        <v>0.77830066017569743</v>
      </c>
      <c r="T12" s="45" t="s">
        <v>47</v>
      </c>
      <c r="X12" s="25" t="s">
        <v>89</v>
      </c>
      <c r="Y12" s="45" t="s">
        <v>56</v>
      </c>
      <c r="Z12" s="27">
        <v>1</v>
      </c>
    </row>
    <row r="13" spans="1:26" ht="15.75" x14ac:dyDescent="0.25">
      <c r="A13" s="1">
        <v>9</v>
      </c>
      <c r="B13" s="3">
        <f t="shared" si="0"/>
        <v>139.61953943806648</v>
      </c>
      <c r="J13" s="87" t="s">
        <v>15</v>
      </c>
      <c r="K13" s="87"/>
      <c r="L13" s="87"/>
      <c r="M13" s="87"/>
      <c r="N13" s="87"/>
      <c r="O13" s="87"/>
      <c r="P13" s="87"/>
      <c r="Q13" s="10"/>
      <c r="X13" s="26" t="s">
        <v>84</v>
      </c>
      <c r="Y13" s="45" t="s">
        <v>56</v>
      </c>
      <c r="Z13" s="27">
        <v>2</v>
      </c>
    </row>
    <row r="14" spans="1:26" x14ac:dyDescent="0.25">
      <c r="A14" s="1">
        <v>10</v>
      </c>
      <c r="B14" s="3">
        <f t="shared" si="0"/>
        <v>146.6005164099698</v>
      </c>
      <c r="X14" s="28" t="s">
        <v>73</v>
      </c>
      <c r="Y14" s="45" t="s">
        <v>56</v>
      </c>
      <c r="Z14" s="39">
        <v>1</v>
      </c>
    </row>
    <row r="15" spans="1:26" ht="15.75" customHeight="1" x14ac:dyDescent="0.25">
      <c r="A15" s="1">
        <v>11</v>
      </c>
      <c r="B15" s="3">
        <f t="shared" si="0"/>
        <v>153.93054223046829</v>
      </c>
      <c r="J15" s="7" t="s">
        <v>16</v>
      </c>
      <c r="K15" s="7" t="s">
        <v>17</v>
      </c>
      <c r="L15" s="7" t="s">
        <v>18</v>
      </c>
      <c r="M15" s="8" t="s">
        <v>19</v>
      </c>
      <c r="X15" s="45" t="s">
        <v>76</v>
      </c>
      <c r="Y15" s="45" t="s">
        <v>56</v>
      </c>
      <c r="Z15" s="29">
        <v>1</v>
      </c>
    </row>
    <row r="16" spans="1:26" ht="15.75" x14ac:dyDescent="0.25">
      <c r="A16" s="1">
        <v>12</v>
      </c>
      <c r="B16" s="3">
        <f t="shared" si="0"/>
        <v>161.6270693419917</v>
      </c>
      <c r="J16" s="7" t="s">
        <v>20</v>
      </c>
      <c r="K16" s="19">
        <v>1</v>
      </c>
      <c r="L16" s="19">
        <v>0.4</v>
      </c>
      <c r="M16" s="19">
        <f>L16*K16</f>
        <v>0.4</v>
      </c>
      <c r="X16" s="44" t="s">
        <v>102</v>
      </c>
      <c r="Y16" s="44"/>
      <c r="Z16" s="44"/>
    </row>
    <row r="17" spans="1:29" x14ac:dyDescent="0.25">
      <c r="A17" s="1">
        <v>13</v>
      </c>
      <c r="B17" s="3">
        <f t="shared" si="0"/>
        <v>169.7084228090913</v>
      </c>
      <c r="J17" s="7" t="s">
        <v>21</v>
      </c>
      <c r="K17" s="19">
        <v>1</v>
      </c>
      <c r="L17" s="19">
        <v>6.4</v>
      </c>
      <c r="M17" s="19">
        <f t="shared" ref="M17:M19" si="1">L17*K17</f>
        <v>6.4</v>
      </c>
      <c r="X17" s="45" t="s">
        <v>49</v>
      </c>
      <c r="Y17" s="45" t="s">
        <v>55</v>
      </c>
      <c r="Z17" s="45" t="s">
        <v>17</v>
      </c>
    </row>
    <row r="18" spans="1:29" x14ac:dyDescent="0.25">
      <c r="A18" s="1">
        <v>14</v>
      </c>
      <c r="B18" s="3">
        <f t="shared" si="0"/>
        <v>178.19384394954588</v>
      </c>
      <c r="J18" s="7" t="s">
        <v>22</v>
      </c>
      <c r="K18" s="19">
        <v>4</v>
      </c>
      <c r="L18" s="19">
        <v>1.1000000000000001</v>
      </c>
      <c r="M18" s="19">
        <f t="shared" si="1"/>
        <v>4.4000000000000004</v>
      </c>
    </row>
    <row r="19" spans="1:29" x14ac:dyDescent="0.25">
      <c r="A19" s="1">
        <v>15</v>
      </c>
      <c r="B19" s="3">
        <f t="shared" si="0"/>
        <v>187.10353614702319</v>
      </c>
      <c r="J19" s="7" t="s">
        <v>23</v>
      </c>
      <c r="K19" s="19">
        <v>5</v>
      </c>
      <c r="L19" s="19">
        <v>0.4</v>
      </c>
      <c r="M19" s="19">
        <f t="shared" si="1"/>
        <v>2</v>
      </c>
      <c r="X19" s="45" t="s">
        <v>50</v>
      </c>
      <c r="Y19" s="45" t="s">
        <v>57</v>
      </c>
      <c r="Z19" s="45">
        <v>45</v>
      </c>
    </row>
    <row r="20" spans="1:29" x14ac:dyDescent="0.25">
      <c r="A20" s="1">
        <v>16</v>
      </c>
      <c r="B20" s="3">
        <f t="shared" si="0"/>
        <v>196.45871295437436</v>
      </c>
      <c r="J20" s="18"/>
      <c r="K20" s="20"/>
      <c r="L20" s="19"/>
      <c r="M20" s="19"/>
      <c r="X20" s="45" t="s">
        <v>51</v>
      </c>
      <c r="Y20" s="45" t="s">
        <v>58</v>
      </c>
      <c r="Z20" s="45">
        <v>4</v>
      </c>
    </row>
    <row r="21" spans="1:29" x14ac:dyDescent="0.25">
      <c r="A21" s="1">
        <v>17</v>
      </c>
      <c r="B21" s="3">
        <f t="shared" si="0"/>
        <v>206.2816486020931</v>
      </c>
      <c r="L21" s="9" t="s">
        <v>24</v>
      </c>
      <c r="M21" s="45">
        <f>SUM(M16:M20)</f>
        <v>13.200000000000001</v>
      </c>
      <c r="X21" s="45" t="s">
        <v>71</v>
      </c>
      <c r="Y21" s="45" t="s">
        <v>59</v>
      </c>
      <c r="Z21" s="45">
        <v>200</v>
      </c>
    </row>
    <row r="22" spans="1:29" x14ac:dyDescent="0.25">
      <c r="A22" s="1">
        <v>18</v>
      </c>
      <c r="B22" s="3">
        <f t="shared" si="0"/>
        <v>216.59573103219776</v>
      </c>
      <c r="X22" s="45" t="s">
        <v>52</v>
      </c>
      <c r="Y22" s="45" t="s">
        <v>60</v>
      </c>
      <c r="Z22" s="45">
        <v>250</v>
      </c>
    </row>
    <row r="23" spans="1:29" x14ac:dyDescent="0.25">
      <c r="A23" s="1">
        <v>19</v>
      </c>
      <c r="B23" s="3">
        <f t="shared" si="0"/>
        <v>227.42551758380765</v>
      </c>
      <c r="X23" s="45" t="s">
        <v>53</v>
      </c>
      <c r="Y23" s="45" t="s">
        <v>59</v>
      </c>
      <c r="Z23" s="45">
        <v>10</v>
      </c>
    </row>
    <row r="24" spans="1:29" x14ac:dyDescent="0.25">
      <c r="A24" s="4">
        <v>20</v>
      </c>
      <c r="B24" s="17">
        <f t="shared" si="0"/>
        <v>238.79679346299804</v>
      </c>
      <c r="X24" s="45" t="s">
        <v>54</v>
      </c>
      <c r="Y24" s="45" t="s">
        <v>58</v>
      </c>
      <c r="Z24" s="45">
        <v>65</v>
      </c>
    </row>
    <row r="26" spans="1:29" ht="15.75" x14ac:dyDescent="0.25">
      <c r="X26" s="43" t="s">
        <v>63</v>
      </c>
      <c r="Y26" s="35"/>
      <c r="Z26" s="35"/>
    </row>
    <row r="27" spans="1:29" x14ac:dyDescent="0.25">
      <c r="J27" s="45" t="s">
        <v>27</v>
      </c>
      <c r="N27" s="22">
        <f>H8/1000</f>
        <v>1.160817746000685E-3</v>
      </c>
      <c r="Y27" s="45" t="s">
        <v>55</v>
      </c>
      <c r="Z27" s="45" t="s">
        <v>17</v>
      </c>
      <c r="AC27" s="45">
        <v>0.48</v>
      </c>
    </row>
    <row r="28" spans="1:29" x14ac:dyDescent="0.25">
      <c r="J28" s="92" t="s">
        <v>25</v>
      </c>
      <c r="K28" s="92"/>
      <c r="L28" s="92"/>
      <c r="N28" s="22">
        <v>140</v>
      </c>
      <c r="X28" s="31" t="s">
        <v>64</v>
      </c>
      <c r="Y28" s="45" t="s">
        <v>14</v>
      </c>
      <c r="Z28" s="45">
        <f>Z11</f>
        <v>307</v>
      </c>
      <c r="AA28" s="45">
        <f>Z28</f>
        <v>307</v>
      </c>
    </row>
    <row r="29" spans="1:29" x14ac:dyDescent="0.25">
      <c r="J29" s="45" t="s">
        <v>26</v>
      </c>
      <c r="N29" s="45">
        <v>0.05</v>
      </c>
      <c r="X29" s="33" t="s">
        <v>74</v>
      </c>
      <c r="Y29" s="33" t="s">
        <v>58</v>
      </c>
      <c r="Z29" s="45">
        <f>AA29*AC27</f>
        <v>110.52</v>
      </c>
      <c r="AA29" s="45">
        <f>0.75*AA28</f>
        <v>230.25</v>
      </c>
    </row>
    <row r="30" spans="1:29" x14ac:dyDescent="0.25">
      <c r="J30" s="90" t="s">
        <v>28</v>
      </c>
      <c r="K30" s="90"/>
      <c r="N30" s="45">
        <f>M21</f>
        <v>13.200000000000001</v>
      </c>
      <c r="X30" s="45" t="s">
        <v>70</v>
      </c>
      <c r="Y30" s="33" t="s">
        <v>58</v>
      </c>
      <c r="Z30" s="45">
        <f>AA30*AC27</f>
        <v>29.472000000000001</v>
      </c>
      <c r="AA30" s="45">
        <f>0.2*AA28</f>
        <v>61.400000000000006</v>
      </c>
    </row>
    <row r="31" spans="1:29" x14ac:dyDescent="0.25">
      <c r="J31" s="90" t="s">
        <v>29</v>
      </c>
      <c r="K31" s="90"/>
      <c r="N31" s="45">
        <f>10.643*((N27/N28)^1.852)*(N30/(N29^4.87))</f>
        <v>0.11829542528641152</v>
      </c>
      <c r="X31" s="45" t="s">
        <v>75</v>
      </c>
      <c r="Y31" s="33" t="s">
        <v>58</v>
      </c>
      <c r="Z31" s="45">
        <f>AA31*AC27</f>
        <v>7.3680000000000003</v>
      </c>
      <c r="AA31" s="45">
        <f>0.05*AA28</f>
        <v>15.350000000000001</v>
      </c>
    </row>
    <row r="32" spans="1:29" ht="30" x14ac:dyDescent="0.25">
      <c r="X32" s="30" t="s">
        <v>72</v>
      </c>
      <c r="Y32" s="45" t="s">
        <v>56</v>
      </c>
      <c r="Z32" s="45">
        <v>1</v>
      </c>
    </row>
    <row r="33" spans="10:26" x14ac:dyDescent="0.25">
      <c r="X33" s="45" t="s">
        <v>66</v>
      </c>
      <c r="Y33" s="45" t="s">
        <v>69</v>
      </c>
      <c r="Z33" s="45">
        <v>250</v>
      </c>
    </row>
    <row r="34" spans="10:26" ht="15.75" x14ac:dyDescent="0.25">
      <c r="J34" s="87" t="s">
        <v>30</v>
      </c>
      <c r="K34" s="87"/>
      <c r="L34" s="87"/>
      <c r="X34" s="45" t="s">
        <v>67</v>
      </c>
      <c r="Y34" s="45" t="s">
        <v>69</v>
      </c>
      <c r="Z34" s="45">
        <v>80</v>
      </c>
    </row>
    <row r="35" spans="10:26" x14ac:dyDescent="0.25">
      <c r="X35" s="45" t="s">
        <v>68</v>
      </c>
      <c r="Y35" s="45" t="s">
        <v>69</v>
      </c>
      <c r="Z35" s="45">
        <v>350</v>
      </c>
    </row>
    <row r="42" spans="10:26" x14ac:dyDescent="0.25">
      <c r="K42" s="45" t="s">
        <v>31</v>
      </c>
      <c r="L42" s="45">
        <f>((10.643*((N27/N28)^1.852))/N8)^(1/4.87)</f>
        <v>3.2626582693892063E-2</v>
      </c>
      <c r="M42" s="45" t="s">
        <v>14</v>
      </c>
    </row>
    <row r="45" spans="10:26" x14ac:dyDescent="0.25">
      <c r="J45" s="94" t="s">
        <v>32</v>
      </c>
      <c r="K45" s="94"/>
      <c r="L45" s="94"/>
      <c r="M45" s="94"/>
      <c r="N45" s="94"/>
    </row>
    <row r="46" spans="10:26" x14ac:dyDescent="0.25">
      <c r="J46" s="94"/>
      <c r="K46" s="94"/>
      <c r="L46" s="94"/>
      <c r="M46" s="94"/>
      <c r="N46" s="94"/>
    </row>
    <row r="47" spans="10:26" x14ac:dyDescent="0.25">
      <c r="J47" s="94"/>
      <c r="K47" s="94"/>
      <c r="L47" s="94"/>
      <c r="M47" s="94"/>
      <c r="N47" s="94"/>
    </row>
    <row r="50" spans="10:14" x14ac:dyDescent="0.25">
      <c r="J50" s="95" t="s">
        <v>33</v>
      </c>
      <c r="K50" s="95"/>
      <c r="L50" s="95"/>
      <c r="M50" s="95"/>
      <c r="N50" s="95"/>
    </row>
    <row r="51" spans="10:14" ht="15.75" x14ac:dyDescent="0.25">
      <c r="J51" s="11"/>
    </row>
    <row r="52" spans="10:14" ht="15.75" x14ac:dyDescent="0.25">
      <c r="J52" s="11"/>
    </row>
    <row r="53" spans="10:14" ht="15.75" x14ac:dyDescent="0.25">
      <c r="J53" s="11"/>
    </row>
    <row r="54" spans="10:14" ht="18" x14ac:dyDescent="0.25">
      <c r="J54" s="12" t="s">
        <v>34</v>
      </c>
    </row>
    <row r="55" spans="10:14" ht="15.75" x14ac:dyDescent="0.25">
      <c r="J55" s="11"/>
    </row>
    <row r="56" spans="10:14" x14ac:dyDescent="0.25">
      <c r="J56" s="13" t="s">
        <v>35</v>
      </c>
    </row>
    <row r="57" spans="10:14" x14ac:dyDescent="0.25">
      <c r="J57" s="13" t="s">
        <v>36</v>
      </c>
    </row>
    <row r="58" spans="10:14" x14ac:dyDescent="0.25">
      <c r="J58" s="96" t="s">
        <v>37</v>
      </c>
      <c r="K58" s="96"/>
      <c r="L58" s="96"/>
      <c r="M58" s="96"/>
      <c r="N58" s="96"/>
    </row>
    <row r="59" spans="10:14" x14ac:dyDescent="0.25">
      <c r="J59" s="93" t="s">
        <v>38</v>
      </c>
      <c r="K59" s="93"/>
      <c r="L59" s="93"/>
      <c r="M59" s="93"/>
      <c r="N59" s="93"/>
    </row>
    <row r="60" spans="10:14" x14ac:dyDescent="0.25">
      <c r="J60" s="14"/>
      <c r="K60" s="14"/>
      <c r="L60" s="14"/>
      <c r="M60" s="14"/>
      <c r="N60" s="14"/>
    </row>
    <row r="61" spans="10:14" x14ac:dyDescent="0.25">
      <c r="K61" s="15" t="s">
        <v>39</v>
      </c>
      <c r="L61" s="15">
        <v>0.5</v>
      </c>
      <c r="M61" s="15"/>
      <c r="N61" s="15"/>
    </row>
    <row r="62" spans="10:14" x14ac:dyDescent="0.25">
      <c r="K62" s="45" t="s">
        <v>40</v>
      </c>
      <c r="L62" s="45">
        <v>1.2</v>
      </c>
    </row>
    <row r="63" spans="10:14" x14ac:dyDescent="0.25">
      <c r="K63" s="45" t="s">
        <v>31</v>
      </c>
      <c r="L63" s="45">
        <f>L61^(1/4)*L62*(N27^0.5)</f>
        <v>3.4379991621334427E-2</v>
      </c>
    </row>
  </sheetData>
  <mergeCells count="24">
    <mergeCell ref="A2:B2"/>
    <mergeCell ref="A1:C1"/>
    <mergeCell ref="E1:H1"/>
    <mergeCell ref="J1:O1"/>
    <mergeCell ref="R1:U1"/>
    <mergeCell ref="X1:Z1"/>
    <mergeCell ref="J3:N3"/>
    <mergeCell ref="R7:T7"/>
    <mergeCell ref="J8:L8"/>
    <mergeCell ref="R8:U8"/>
    <mergeCell ref="J9:M9"/>
    <mergeCell ref="R9:S9"/>
    <mergeCell ref="J59:N59"/>
    <mergeCell ref="J10:L10"/>
    <mergeCell ref="R10:T10"/>
    <mergeCell ref="R11:T11"/>
    <mergeCell ref="J13:P13"/>
    <mergeCell ref="J28:L28"/>
    <mergeCell ref="J30:K30"/>
    <mergeCell ref="J31:K31"/>
    <mergeCell ref="J34:L34"/>
    <mergeCell ref="J45:N47"/>
    <mergeCell ref="J50:N50"/>
    <mergeCell ref="J58:N58"/>
  </mergeCells>
  <pageMargins left="0.511811024" right="0.511811024" top="0.78740157499999996" bottom="0.78740157499999996" header="0.31496062000000002" footer="0.31496062000000002"/>
  <drawing r:id="rId1"/>
  <legacyDrawing r:id="rId2"/>
  <oleObjects>
    <mc:AlternateContent xmlns:mc="http://schemas.openxmlformats.org/markup-compatibility/2006">
      <mc:Choice Requires="x14">
        <oleObject progId="Equation.3" shapeId="15361" r:id="rId3">
          <objectPr defaultSize="0" autoPict="0" r:id="rId4">
            <anchor moveWithCells="1">
              <from>
                <xdr:col>4</xdr:col>
                <xdr:colOff>304800</xdr:colOff>
                <xdr:row>1</xdr:row>
                <xdr:rowOff>57150</xdr:rowOff>
              </from>
              <to>
                <xdr:col>7</xdr:col>
                <xdr:colOff>200025</xdr:colOff>
                <xdr:row>4</xdr:row>
                <xdr:rowOff>9525</xdr:rowOff>
              </to>
            </anchor>
          </objectPr>
        </oleObject>
      </mc:Choice>
      <mc:Fallback>
        <oleObject progId="Equation.3" shapeId="15361" r:id="rId3"/>
      </mc:Fallback>
    </mc:AlternateContent>
  </oleObjects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H63"/>
  <sheetViews>
    <sheetView topLeftCell="W34" workbookViewId="0">
      <selection activeCell="AB40" sqref="AB40:AD48"/>
    </sheetView>
  </sheetViews>
  <sheetFormatPr defaultRowHeight="15" x14ac:dyDescent="0.25"/>
  <cols>
    <col min="1" max="1" width="9.140625" style="46" customWidth="1"/>
    <col min="2" max="13" width="9.140625" style="46"/>
    <col min="14" max="14" width="18.85546875" style="46" bestFit="1" customWidth="1"/>
    <col min="15" max="15" width="11.5703125" style="46" customWidth="1"/>
    <col min="16" max="16" width="9.140625" style="46"/>
    <col min="17" max="17" width="9.140625" style="46" customWidth="1"/>
    <col min="18" max="18" width="9.5703125" style="46" bestFit="1" customWidth="1"/>
    <col min="19" max="27" width="9.140625" style="46"/>
    <col min="28" max="28" width="75.28515625" style="46" bestFit="1" customWidth="1"/>
    <col min="29" max="29" width="9.140625" style="46"/>
    <col min="30" max="30" width="11.140625" style="46" customWidth="1"/>
    <col min="31" max="31" width="8.7109375" style="46" hidden="1" customWidth="1"/>
    <col min="32" max="32" width="8.85546875" style="46" hidden="1" customWidth="1"/>
    <col min="33" max="33" width="9" style="46" hidden="1" customWidth="1"/>
    <col min="34" max="16384" width="9.140625" style="46"/>
  </cols>
  <sheetData>
    <row r="1" spans="1:34" ht="15.75" x14ac:dyDescent="0.25">
      <c r="A1" s="85" t="s">
        <v>2</v>
      </c>
      <c r="B1" s="86"/>
      <c r="C1" s="86"/>
      <c r="D1" s="48"/>
      <c r="E1" s="85" t="s">
        <v>2</v>
      </c>
      <c r="F1" s="86"/>
      <c r="G1" s="86"/>
      <c r="H1" s="80"/>
      <c r="I1" s="87" t="s">
        <v>3</v>
      </c>
      <c r="J1" s="87"/>
      <c r="K1" s="87"/>
      <c r="L1" s="88"/>
      <c r="N1" s="87" t="s">
        <v>8</v>
      </c>
      <c r="O1" s="87"/>
      <c r="P1" s="87"/>
      <c r="Q1" s="87"/>
      <c r="R1" s="87"/>
      <c r="S1" s="87"/>
      <c r="V1" s="89" t="s">
        <v>41</v>
      </c>
      <c r="W1" s="89"/>
      <c r="X1" s="89"/>
      <c r="Y1" s="89"/>
      <c r="AB1" s="87" t="s">
        <v>61</v>
      </c>
      <c r="AC1" s="87"/>
      <c r="AD1" s="87"/>
    </row>
    <row r="2" spans="1:34" x14ac:dyDescent="0.25">
      <c r="A2" s="78" t="s">
        <v>107</v>
      </c>
      <c r="B2" s="79"/>
      <c r="E2" s="78" t="s">
        <v>107</v>
      </c>
      <c r="F2" s="79"/>
    </row>
    <row r="3" spans="1:34" ht="15.75" x14ac:dyDescent="0.25">
      <c r="A3" s="1" t="s">
        <v>0</v>
      </c>
      <c r="B3" s="2" t="s">
        <v>1</v>
      </c>
      <c r="E3" s="1" t="s">
        <v>0</v>
      </c>
      <c r="F3" s="2" t="s">
        <v>1</v>
      </c>
      <c r="H3" s="46">
        <v>0</v>
      </c>
      <c r="N3" s="87" t="s">
        <v>9</v>
      </c>
      <c r="O3" s="87"/>
      <c r="P3" s="87"/>
      <c r="Q3" s="87"/>
      <c r="R3" s="87"/>
      <c r="AB3" s="49" t="s">
        <v>62</v>
      </c>
    </row>
    <row r="4" spans="1:34" x14ac:dyDescent="0.25">
      <c r="A4" s="1">
        <v>0</v>
      </c>
      <c r="B4" s="34">
        <v>500</v>
      </c>
      <c r="E4" s="1">
        <v>0</v>
      </c>
      <c r="F4" s="34">
        <v>1300</v>
      </c>
    </row>
    <row r="5" spans="1:34" x14ac:dyDescent="0.25">
      <c r="A5" s="1">
        <v>1</v>
      </c>
      <c r="B5" s="3">
        <f>B4*1.05</f>
        <v>525</v>
      </c>
      <c r="E5" s="1">
        <v>1</v>
      </c>
      <c r="F5" s="3">
        <f>F4*1.05</f>
        <v>1365</v>
      </c>
      <c r="AB5" s="46" t="s">
        <v>49</v>
      </c>
      <c r="AC5" s="46" t="s">
        <v>55</v>
      </c>
      <c r="AD5" s="46" t="s">
        <v>17</v>
      </c>
    </row>
    <row r="6" spans="1:34" x14ac:dyDescent="0.25">
      <c r="A6" s="1">
        <v>2</v>
      </c>
      <c r="B6" s="3">
        <f t="shared" ref="B6:B24" si="0">B5*1.05</f>
        <v>551.25</v>
      </c>
      <c r="E6" s="1">
        <v>2</v>
      </c>
      <c r="F6" s="3">
        <f t="shared" ref="F6:F24" si="1">F5*1.05</f>
        <v>1433.25</v>
      </c>
      <c r="I6" s="46" t="s">
        <v>4</v>
      </c>
      <c r="J6" s="46" t="s">
        <v>5</v>
      </c>
      <c r="K6" s="46" t="s">
        <v>6</v>
      </c>
      <c r="L6" s="46" t="s">
        <v>7</v>
      </c>
    </row>
    <row r="7" spans="1:34" x14ac:dyDescent="0.25">
      <c r="A7" s="1">
        <v>3</v>
      </c>
      <c r="B7" s="3">
        <f t="shared" si="0"/>
        <v>578.8125</v>
      </c>
      <c r="E7" s="1">
        <v>3</v>
      </c>
      <c r="F7" s="3">
        <f t="shared" si="1"/>
        <v>1504.9125000000001</v>
      </c>
      <c r="I7" s="46">
        <v>1.2</v>
      </c>
      <c r="J7" s="46">
        <v>200</v>
      </c>
      <c r="K7" s="23">
        <f>B24</f>
        <v>1326.6488525722111</v>
      </c>
      <c r="L7" s="51">
        <f>(I7*J7*K7)/86400</f>
        <v>3.6851357015894752</v>
      </c>
      <c r="V7" s="90" t="s">
        <v>42</v>
      </c>
      <c r="W7" s="90"/>
      <c r="X7" s="90"/>
      <c r="AB7" s="76" t="s">
        <v>124</v>
      </c>
      <c r="AC7" s="46" t="s">
        <v>56</v>
      </c>
      <c r="AD7" s="46">
        <v>9</v>
      </c>
    </row>
    <row r="8" spans="1:34" x14ac:dyDescent="0.25">
      <c r="A8" s="1">
        <v>4</v>
      </c>
      <c r="B8" s="3">
        <f t="shared" si="0"/>
        <v>607.75312500000007</v>
      </c>
      <c r="E8" s="1">
        <v>4</v>
      </c>
      <c r="F8" s="3">
        <f t="shared" si="1"/>
        <v>1580.1581250000002</v>
      </c>
      <c r="L8" s="46">
        <f>L7*1.75</f>
        <v>6.4489874777815821</v>
      </c>
      <c r="N8" s="90" t="s">
        <v>10</v>
      </c>
      <c r="O8" s="90"/>
      <c r="P8" s="90"/>
      <c r="R8" s="6">
        <f>R9/R10</f>
        <v>8.7253414264036419E-2</v>
      </c>
      <c r="S8" s="46" t="s">
        <v>13</v>
      </c>
      <c r="T8" s="46">
        <f>T9/T10</f>
        <v>2.1566401816118047E-2</v>
      </c>
      <c r="V8" s="90" t="s">
        <v>43</v>
      </c>
      <c r="W8" s="90"/>
      <c r="X8" s="90"/>
      <c r="Y8" s="90"/>
      <c r="Z8" s="46">
        <f xml:space="preserve"> 1000</f>
        <v>1000</v>
      </c>
      <c r="AB8" s="76" t="s">
        <v>123</v>
      </c>
      <c r="AC8" s="46" t="s">
        <v>56</v>
      </c>
      <c r="AD8" s="46">
        <v>2</v>
      </c>
    </row>
    <row r="9" spans="1:34" x14ac:dyDescent="0.25">
      <c r="A9" s="1">
        <v>5</v>
      </c>
      <c r="B9" s="3">
        <f t="shared" si="0"/>
        <v>638.14078125000015</v>
      </c>
      <c r="E9" s="1">
        <v>5</v>
      </c>
      <c r="F9" s="3">
        <f t="shared" si="1"/>
        <v>1659.1660312500003</v>
      </c>
      <c r="I9" s="46">
        <v>1.2</v>
      </c>
      <c r="J9" s="46">
        <v>200</v>
      </c>
      <c r="K9" s="81">
        <f>F24</f>
        <v>3449.2870166877487</v>
      </c>
      <c r="L9" s="51">
        <f>(I9*J9*K9)/86400</f>
        <v>9.5813528241326349</v>
      </c>
      <c r="N9" s="90" t="s">
        <v>11</v>
      </c>
      <c r="O9" s="90"/>
      <c r="P9" s="90"/>
      <c r="Q9" s="90"/>
      <c r="R9" s="21">
        <v>115</v>
      </c>
      <c r="S9" s="46" t="s">
        <v>14</v>
      </c>
      <c r="T9" s="46">
        <v>57</v>
      </c>
      <c r="V9" s="90" t="s">
        <v>44</v>
      </c>
      <c r="W9" s="90"/>
      <c r="AB9" s="46" t="s">
        <v>91</v>
      </c>
      <c r="AC9" s="46" t="s">
        <v>56</v>
      </c>
      <c r="AD9" s="46">
        <v>10</v>
      </c>
    </row>
    <row r="10" spans="1:34" x14ac:dyDescent="0.25">
      <c r="A10" s="1">
        <v>6</v>
      </c>
      <c r="B10" s="3">
        <f t="shared" si="0"/>
        <v>670.04782031250022</v>
      </c>
      <c r="E10" s="1">
        <v>6</v>
      </c>
      <c r="F10" s="3">
        <f t="shared" si="1"/>
        <v>1742.1243328125004</v>
      </c>
      <c r="L10" s="46">
        <f>L9*1.75</f>
        <v>16.767367442232111</v>
      </c>
      <c r="N10" s="90" t="s">
        <v>12</v>
      </c>
      <c r="O10" s="90"/>
      <c r="P10" s="90"/>
      <c r="R10" s="21">
        <v>1318</v>
      </c>
      <c r="S10" s="46" t="s">
        <v>14</v>
      </c>
      <c r="T10" s="46">
        <v>2643</v>
      </c>
      <c r="V10" s="90" t="s">
        <v>45</v>
      </c>
      <c r="W10" s="90"/>
      <c r="X10" s="90"/>
      <c r="AB10" s="46" t="s">
        <v>90</v>
      </c>
      <c r="AC10" s="46" t="s">
        <v>56</v>
      </c>
      <c r="AD10" s="46">
        <v>20</v>
      </c>
    </row>
    <row r="11" spans="1:34" x14ac:dyDescent="0.25">
      <c r="A11" s="1">
        <v>7</v>
      </c>
      <c r="B11" s="3">
        <f t="shared" si="0"/>
        <v>703.55021132812522</v>
      </c>
      <c r="E11" s="1">
        <v>7</v>
      </c>
      <c r="F11" s="3">
        <f t="shared" si="1"/>
        <v>1829.2305494531254</v>
      </c>
      <c r="R11" s="46" t="s">
        <v>109</v>
      </c>
      <c r="T11" s="46" t="s">
        <v>110</v>
      </c>
      <c r="V11" s="91" t="s">
        <v>48</v>
      </c>
      <c r="W11" s="91"/>
      <c r="X11" s="91"/>
      <c r="Z11" s="16">
        <v>0.7</v>
      </c>
      <c r="AB11" s="46" t="s">
        <v>108</v>
      </c>
      <c r="AC11" s="46" t="s">
        <v>14</v>
      </c>
      <c r="AD11" s="46">
        <v>1318</v>
      </c>
    </row>
    <row r="12" spans="1:34" x14ac:dyDescent="0.25">
      <c r="A12" s="1">
        <v>8</v>
      </c>
      <c r="B12" s="3">
        <f t="shared" si="0"/>
        <v>738.72772189453156</v>
      </c>
      <c r="C12" s="46">
        <f t="shared" ref="C12" si="2">100*5</f>
        <v>500</v>
      </c>
      <c r="E12" s="1">
        <v>8</v>
      </c>
      <c r="F12" s="3">
        <f t="shared" si="1"/>
        <v>1920.6920769257817</v>
      </c>
      <c r="G12" s="46">
        <f>260*5</f>
        <v>1300</v>
      </c>
      <c r="V12" s="46" t="s">
        <v>46</v>
      </c>
      <c r="W12" s="46">
        <f>Z8*R27*(R9+Q21)/(75*0.7)</f>
        <v>15.747813231459025</v>
      </c>
      <c r="X12" s="46" t="s">
        <v>47</v>
      </c>
      <c r="Y12" s="46" t="s">
        <v>109</v>
      </c>
      <c r="AB12" s="46" t="s">
        <v>119</v>
      </c>
      <c r="AC12" s="46" t="s">
        <v>14</v>
      </c>
      <c r="AD12" s="46">
        <v>2643</v>
      </c>
    </row>
    <row r="13" spans="1:34" ht="15.75" x14ac:dyDescent="0.25">
      <c r="A13" s="1">
        <v>9</v>
      </c>
      <c r="B13" s="3">
        <f t="shared" si="0"/>
        <v>775.66410798925813</v>
      </c>
      <c r="E13" s="1">
        <v>9</v>
      </c>
      <c r="F13" s="3">
        <f t="shared" si="1"/>
        <v>2016.7266807720709</v>
      </c>
      <c r="N13" s="87" t="s">
        <v>15</v>
      </c>
      <c r="O13" s="87"/>
      <c r="P13" s="87"/>
      <c r="Q13" s="87"/>
      <c r="R13" s="87"/>
      <c r="S13" s="87"/>
      <c r="T13" s="87"/>
      <c r="U13" s="10"/>
      <c r="V13" s="46" t="s">
        <v>112</v>
      </c>
      <c r="W13" s="46">
        <f>Z8*S27*(T9+Q21)/(75*0.7)</f>
        <v>22.420365608470366</v>
      </c>
      <c r="X13" s="46" t="s">
        <v>47</v>
      </c>
      <c r="Y13" s="46" t="s">
        <v>111</v>
      </c>
      <c r="AB13" s="46" t="s">
        <v>80</v>
      </c>
      <c r="AC13" s="46" t="s">
        <v>14</v>
      </c>
      <c r="AD13" s="46">
        <v>42154</v>
      </c>
    </row>
    <row r="14" spans="1:34" x14ac:dyDescent="0.25">
      <c r="A14" s="1">
        <v>10</v>
      </c>
      <c r="B14" s="3">
        <f t="shared" si="0"/>
        <v>814.44731338872111</v>
      </c>
      <c r="E14" s="1">
        <v>10</v>
      </c>
      <c r="F14" s="3">
        <f t="shared" si="1"/>
        <v>2117.5630148106748</v>
      </c>
      <c r="AB14" s="24" t="s">
        <v>87</v>
      </c>
      <c r="AC14" s="46" t="s">
        <v>14</v>
      </c>
      <c r="AD14" s="46">
        <v>5928</v>
      </c>
      <c r="AH14" s="76"/>
    </row>
    <row r="15" spans="1:34" ht="14.25" customHeight="1" x14ac:dyDescent="0.25">
      <c r="A15" s="1">
        <v>11</v>
      </c>
      <c r="B15" s="3">
        <f t="shared" si="0"/>
        <v>855.16967905815716</v>
      </c>
      <c r="E15" s="1">
        <v>11</v>
      </c>
      <c r="F15" s="3">
        <f t="shared" si="1"/>
        <v>2223.4411655512085</v>
      </c>
      <c r="N15" s="7" t="s">
        <v>16</v>
      </c>
      <c r="O15" s="7" t="s">
        <v>17</v>
      </c>
      <c r="P15" s="7" t="s">
        <v>18</v>
      </c>
      <c r="Q15" s="8" t="s">
        <v>19</v>
      </c>
      <c r="AB15" s="24" t="s">
        <v>88</v>
      </c>
      <c r="AC15" s="46" t="s">
        <v>14</v>
      </c>
      <c r="AD15" s="27">
        <v>3270</v>
      </c>
      <c r="AH15" s="76"/>
    </row>
    <row r="16" spans="1:34" x14ac:dyDescent="0.25">
      <c r="A16" s="1">
        <v>12</v>
      </c>
      <c r="B16" s="3">
        <f t="shared" si="0"/>
        <v>897.92816301106507</v>
      </c>
      <c r="E16" s="1">
        <v>12</v>
      </c>
      <c r="F16" s="3">
        <f t="shared" si="1"/>
        <v>2334.6132238287692</v>
      </c>
      <c r="N16" s="7" t="s">
        <v>20</v>
      </c>
      <c r="O16" s="19">
        <v>1</v>
      </c>
      <c r="P16" s="19">
        <v>0.4</v>
      </c>
      <c r="Q16" s="19">
        <f>P16*O16</f>
        <v>0.4</v>
      </c>
      <c r="AB16" s="25" t="s">
        <v>104</v>
      </c>
      <c r="AC16" s="46" t="s">
        <v>56</v>
      </c>
      <c r="AD16" s="27">
        <v>2</v>
      </c>
    </row>
    <row r="17" spans="1:30" x14ac:dyDescent="0.25">
      <c r="A17" s="1">
        <v>13</v>
      </c>
      <c r="B17" s="3">
        <f t="shared" si="0"/>
        <v>942.82457116161834</v>
      </c>
      <c r="E17" s="1">
        <v>13</v>
      </c>
      <c r="F17" s="3">
        <f t="shared" si="1"/>
        <v>2451.3438850202078</v>
      </c>
      <c r="N17" s="7" t="s">
        <v>21</v>
      </c>
      <c r="O17" s="19">
        <v>1</v>
      </c>
      <c r="P17" s="19">
        <v>6.4</v>
      </c>
      <c r="Q17" s="19">
        <f t="shared" ref="Q17:Q19" si="3">P17*O17</f>
        <v>6.4</v>
      </c>
      <c r="AB17" s="26" t="s">
        <v>84</v>
      </c>
      <c r="AC17" s="46" t="s">
        <v>56</v>
      </c>
      <c r="AD17" s="27">
        <v>80</v>
      </c>
    </row>
    <row r="18" spans="1:30" x14ac:dyDescent="0.25">
      <c r="A18" s="1">
        <v>14</v>
      </c>
      <c r="B18" s="3">
        <f t="shared" si="0"/>
        <v>989.96579971969925</v>
      </c>
      <c r="E18" s="1">
        <v>14</v>
      </c>
      <c r="F18" s="3">
        <f t="shared" si="1"/>
        <v>2573.9110792712181</v>
      </c>
      <c r="N18" s="7" t="s">
        <v>22</v>
      </c>
      <c r="O18" s="19">
        <v>4</v>
      </c>
      <c r="P18" s="19">
        <v>1.1000000000000001</v>
      </c>
      <c r="Q18" s="19">
        <f t="shared" si="3"/>
        <v>4.4000000000000004</v>
      </c>
      <c r="AB18" s="26" t="s">
        <v>82</v>
      </c>
      <c r="AC18" s="46" t="s">
        <v>56</v>
      </c>
      <c r="AD18" s="27">
        <v>400</v>
      </c>
    </row>
    <row r="19" spans="1:30" x14ac:dyDescent="0.25">
      <c r="A19" s="1">
        <v>15</v>
      </c>
      <c r="B19" s="3">
        <f t="shared" si="0"/>
        <v>1039.4640897056843</v>
      </c>
      <c r="E19" s="1">
        <v>15</v>
      </c>
      <c r="F19" s="3">
        <f t="shared" si="1"/>
        <v>2702.6066332347791</v>
      </c>
      <c r="N19" s="7" t="s">
        <v>23</v>
      </c>
      <c r="O19" s="19">
        <v>5</v>
      </c>
      <c r="P19" s="19">
        <v>0.4</v>
      </c>
      <c r="Q19" s="19">
        <f t="shared" si="3"/>
        <v>2</v>
      </c>
      <c r="AB19" s="26" t="s">
        <v>85</v>
      </c>
      <c r="AC19" s="46" t="s">
        <v>56</v>
      </c>
      <c r="AD19" s="27">
        <v>360</v>
      </c>
    </row>
    <row r="20" spans="1:30" x14ac:dyDescent="0.25">
      <c r="A20" s="1">
        <v>16</v>
      </c>
      <c r="B20" s="3">
        <f t="shared" si="0"/>
        <v>1091.4372941909685</v>
      </c>
      <c r="E20" s="1">
        <v>16</v>
      </c>
      <c r="F20" s="3">
        <f t="shared" si="1"/>
        <v>2837.7369648965182</v>
      </c>
      <c r="N20" s="18"/>
      <c r="O20" s="20"/>
      <c r="P20" s="19"/>
      <c r="Q20" s="19"/>
      <c r="AB20" s="26" t="s">
        <v>93</v>
      </c>
      <c r="AC20" s="46" t="s">
        <v>56</v>
      </c>
      <c r="AD20" s="27">
        <v>20</v>
      </c>
    </row>
    <row r="21" spans="1:30" x14ac:dyDescent="0.25">
      <c r="A21" s="1">
        <v>17</v>
      </c>
      <c r="B21" s="3">
        <f t="shared" si="0"/>
        <v>1146.0091589005169</v>
      </c>
      <c r="E21" s="1">
        <v>17</v>
      </c>
      <c r="F21" s="3">
        <f t="shared" si="1"/>
        <v>2979.6238131413443</v>
      </c>
      <c r="P21" s="9" t="s">
        <v>24</v>
      </c>
      <c r="Q21" s="46">
        <f>SUM(Q16:Q20)</f>
        <v>13.200000000000001</v>
      </c>
      <c r="AB21" s="25" t="s">
        <v>86</v>
      </c>
      <c r="AC21" s="46" t="s">
        <v>56</v>
      </c>
      <c r="AD21" s="27">
        <v>20</v>
      </c>
    </row>
    <row r="22" spans="1:30" x14ac:dyDescent="0.25">
      <c r="A22" s="1">
        <v>18</v>
      </c>
      <c r="B22" s="3">
        <f t="shared" si="0"/>
        <v>1203.3096168455429</v>
      </c>
      <c r="E22" s="1">
        <v>18</v>
      </c>
      <c r="F22" s="3">
        <f t="shared" si="1"/>
        <v>3128.6050037984114</v>
      </c>
      <c r="AB22" s="28" t="s">
        <v>116</v>
      </c>
      <c r="AC22" s="46" t="s">
        <v>56</v>
      </c>
      <c r="AD22" s="39">
        <v>1</v>
      </c>
    </row>
    <row r="23" spans="1:30" x14ac:dyDescent="0.25">
      <c r="A23" s="1">
        <v>19</v>
      </c>
      <c r="B23" s="3">
        <f t="shared" si="0"/>
        <v>1263.4750976878202</v>
      </c>
      <c r="E23" s="1">
        <v>19</v>
      </c>
      <c r="F23" s="3">
        <f t="shared" si="1"/>
        <v>3285.035253988332</v>
      </c>
      <c r="AB23" s="28" t="s">
        <v>117</v>
      </c>
      <c r="AC23" s="46" t="s">
        <v>56</v>
      </c>
      <c r="AD23" s="39">
        <v>1</v>
      </c>
    </row>
    <row r="24" spans="1:30" x14ac:dyDescent="0.25">
      <c r="A24" s="4">
        <v>20</v>
      </c>
      <c r="B24" s="17">
        <f t="shared" si="0"/>
        <v>1326.6488525722111</v>
      </c>
      <c r="E24" s="4">
        <v>20</v>
      </c>
      <c r="F24" s="17">
        <f t="shared" si="1"/>
        <v>3449.2870166877487</v>
      </c>
      <c r="AB24" s="46" t="s">
        <v>76</v>
      </c>
      <c r="AC24" s="46" t="s">
        <v>56</v>
      </c>
      <c r="AD24" s="29">
        <v>7</v>
      </c>
    </row>
    <row r="25" spans="1:30" x14ac:dyDescent="0.25">
      <c r="AB25" s="46" t="s">
        <v>83</v>
      </c>
      <c r="AC25" s="46" t="s">
        <v>56</v>
      </c>
      <c r="AD25" s="29">
        <v>12</v>
      </c>
    </row>
    <row r="26" spans="1:30" x14ac:dyDescent="0.25">
      <c r="R26" s="46" t="s">
        <v>109</v>
      </c>
      <c r="S26" s="46" t="s">
        <v>110</v>
      </c>
    </row>
    <row r="27" spans="1:30" ht="15.75" x14ac:dyDescent="0.25">
      <c r="N27" s="46" t="s">
        <v>27</v>
      </c>
      <c r="R27" s="51">
        <f>L8/1000</f>
        <v>6.4489874777815823E-3</v>
      </c>
      <c r="S27" s="46">
        <f>L10/1000</f>
        <v>1.676736744223211E-2</v>
      </c>
      <c r="AB27" s="49" t="s">
        <v>113</v>
      </c>
      <c r="AC27" s="49"/>
      <c r="AD27" s="49"/>
    </row>
    <row r="28" spans="1:30" x14ac:dyDescent="0.25">
      <c r="N28" s="92" t="s">
        <v>25</v>
      </c>
      <c r="O28" s="92"/>
      <c r="P28" s="92"/>
      <c r="R28" s="51">
        <v>140</v>
      </c>
      <c r="S28" s="51">
        <v>140</v>
      </c>
      <c r="AB28" s="46" t="s">
        <v>49</v>
      </c>
      <c r="AC28" s="46" t="s">
        <v>55</v>
      </c>
      <c r="AD28" s="46" t="s">
        <v>17</v>
      </c>
    </row>
    <row r="29" spans="1:30" x14ac:dyDescent="0.25">
      <c r="N29" s="46" t="s">
        <v>26</v>
      </c>
      <c r="R29" s="46">
        <v>0.05</v>
      </c>
      <c r="S29" s="46">
        <v>0.05</v>
      </c>
    </row>
    <row r="30" spans="1:30" x14ac:dyDescent="0.25">
      <c r="N30" s="90" t="s">
        <v>28</v>
      </c>
      <c r="O30" s="90"/>
      <c r="R30" s="46">
        <f>Q21</f>
        <v>13.200000000000001</v>
      </c>
      <c r="S30" s="46">
        <v>13.2</v>
      </c>
      <c r="AB30" s="46" t="s">
        <v>50</v>
      </c>
      <c r="AC30" s="46" t="s">
        <v>57</v>
      </c>
      <c r="AD30" s="46">
        <v>180</v>
      </c>
    </row>
    <row r="31" spans="1:30" x14ac:dyDescent="0.25">
      <c r="N31" s="90" t="s">
        <v>29</v>
      </c>
      <c r="O31" s="90"/>
      <c r="R31" s="46">
        <f>10.643*((R27/R28)^1.852)*(R30/(R29^4.87))</f>
        <v>2.8327175322187239</v>
      </c>
      <c r="S31" s="46">
        <f>10.643*((S27/S28)^1.852)*(S30/(S29^4.87))</f>
        <v>16.623938017035055</v>
      </c>
      <c r="AB31" s="46" t="s">
        <v>51</v>
      </c>
      <c r="AC31" s="46" t="s">
        <v>58</v>
      </c>
      <c r="AD31" s="46">
        <v>16</v>
      </c>
    </row>
    <row r="32" spans="1:30" x14ac:dyDescent="0.25">
      <c r="AB32" s="46" t="s">
        <v>77</v>
      </c>
      <c r="AC32" s="46" t="s">
        <v>59</v>
      </c>
      <c r="AD32" s="46">
        <v>760</v>
      </c>
    </row>
    <row r="33" spans="14:33" ht="15" customHeight="1" x14ac:dyDescent="0.25">
      <c r="AB33" s="46" t="s">
        <v>71</v>
      </c>
      <c r="AC33" s="46" t="s">
        <v>60</v>
      </c>
      <c r="AD33" s="46">
        <v>900</v>
      </c>
    </row>
    <row r="34" spans="14:33" ht="15.75" x14ac:dyDescent="0.25">
      <c r="N34" s="87" t="s">
        <v>30</v>
      </c>
      <c r="O34" s="87"/>
      <c r="P34" s="87"/>
      <c r="AB34" s="46" t="s">
        <v>52</v>
      </c>
      <c r="AC34" s="46" t="s">
        <v>60</v>
      </c>
      <c r="AD34" s="46">
        <v>900</v>
      </c>
    </row>
    <row r="35" spans="14:33" x14ac:dyDescent="0.25">
      <c r="AB35" s="46" t="s">
        <v>53</v>
      </c>
      <c r="AC35" s="46" t="s">
        <v>59</v>
      </c>
      <c r="AD35" s="46">
        <v>20</v>
      </c>
    </row>
    <row r="36" spans="14:33" x14ac:dyDescent="0.25">
      <c r="AB36" s="46" t="s">
        <v>54</v>
      </c>
      <c r="AC36" s="46" t="s">
        <v>58</v>
      </c>
      <c r="AD36" s="46">
        <v>280</v>
      </c>
    </row>
    <row r="37" spans="14:33" x14ac:dyDescent="0.25">
      <c r="AG37" s="46">
        <v>0.48</v>
      </c>
    </row>
    <row r="38" spans="14:33" ht="15.75" x14ac:dyDescent="0.25">
      <c r="AB38" s="47" t="s">
        <v>63</v>
      </c>
      <c r="AC38" s="35"/>
      <c r="AD38" s="35"/>
      <c r="AE38" s="46">
        <f>SUM(AD40:AD44)</f>
        <v>55313</v>
      </c>
    </row>
    <row r="39" spans="14:33" x14ac:dyDescent="0.25">
      <c r="AC39" s="46" t="s">
        <v>55</v>
      </c>
      <c r="AD39" s="46" t="s">
        <v>17</v>
      </c>
      <c r="AF39" s="46">
        <f>0.75*AE38</f>
        <v>41484.75</v>
      </c>
    </row>
    <row r="40" spans="14:33" x14ac:dyDescent="0.25">
      <c r="AB40" s="32" t="s">
        <v>114</v>
      </c>
      <c r="AC40" s="46" t="s">
        <v>14</v>
      </c>
      <c r="AD40" s="46">
        <f>AD12</f>
        <v>2643</v>
      </c>
      <c r="AF40" s="46">
        <f>0.2*AE38</f>
        <v>11062.6</v>
      </c>
    </row>
    <row r="41" spans="14:33" x14ac:dyDescent="0.25">
      <c r="AB41" s="32" t="s">
        <v>115</v>
      </c>
      <c r="AC41" s="46" t="s">
        <v>14</v>
      </c>
      <c r="AD41" s="46">
        <f>AD11</f>
        <v>1318</v>
      </c>
      <c r="AF41" s="46">
        <f>0.05*AE38</f>
        <v>2765.65</v>
      </c>
    </row>
    <row r="42" spans="14:33" x14ac:dyDescent="0.25">
      <c r="O42" s="46" t="s">
        <v>31</v>
      </c>
      <c r="P42" s="46">
        <f>((10.643*((R27/R28)^1.852))/R8)^(1/4.87)</f>
        <v>6.0148672003808322E-2</v>
      </c>
      <c r="Q42" s="46" t="s">
        <v>14</v>
      </c>
      <c r="S42" s="46">
        <f>((10.643*((S27/R28)^1.852))/T8)^(1/4.87)*1</f>
        <v>0.1152595287219467</v>
      </c>
      <c r="AB42" s="31" t="s">
        <v>64</v>
      </c>
      <c r="AC42" s="46" t="s">
        <v>14</v>
      </c>
      <c r="AD42" s="46">
        <f>AD13</f>
        <v>42154</v>
      </c>
    </row>
    <row r="43" spans="14:33" x14ac:dyDescent="0.25">
      <c r="AB43" s="32" t="s">
        <v>79</v>
      </c>
      <c r="AC43" s="46" t="s">
        <v>14</v>
      </c>
      <c r="AD43" s="46">
        <f>AD14</f>
        <v>5928</v>
      </c>
    </row>
    <row r="44" spans="14:33" x14ac:dyDescent="0.25">
      <c r="AB44" s="32" t="s">
        <v>65</v>
      </c>
      <c r="AC44" s="46" t="s">
        <v>14</v>
      </c>
      <c r="AD44" s="46">
        <f>AD15</f>
        <v>3270</v>
      </c>
    </row>
    <row r="45" spans="14:33" ht="15" customHeight="1" x14ac:dyDescent="0.25">
      <c r="N45" s="94" t="s">
        <v>32</v>
      </c>
      <c r="O45" s="94"/>
      <c r="P45" s="94"/>
      <c r="Q45" s="94"/>
      <c r="R45" s="94"/>
      <c r="AB45" s="33" t="s">
        <v>74</v>
      </c>
      <c r="AC45" s="33" t="s">
        <v>58</v>
      </c>
      <c r="AD45" s="46">
        <f>AF39*AG37</f>
        <v>19912.68</v>
      </c>
    </row>
    <row r="46" spans="14:33" ht="15" customHeight="1" x14ac:dyDescent="0.25">
      <c r="N46" s="94"/>
      <c r="O46" s="94"/>
      <c r="P46" s="94"/>
      <c r="Q46" s="94"/>
      <c r="R46" s="94"/>
      <c r="AB46" s="46" t="s">
        <v>70</v>
      </c>
      <c r="AC46" s="33" t="s">
        <v>58</v>
      </c>
      <c r="AD46" s="46">
        <f>AF40*AG37</f>
        <v>5310.0479999999998</v>
      </c>
    </row>
    <row r="47" spans="14:33" ht="15" customHeight="1" x14ac:dyDescent="0.25">
      <c r="N47" s="94"/>
      <c r="O47" s="94"/>
      <c r="P47" s="94"/>
      <c r="Q47" s="94"/>
      <c r="R47" s="94"/>
      <c r="AB47" s="46" t="s">
        <v>75</v>
      </c>
      <c r="AC47" s="33" t="s">
        <v>58</v>
      </c>
      <c r="AD47" s="46">
        <f>AF41*AG37</f>
        <v>1327.5119999999999</v>
      </c>
    </row>
    <row r="48" spans="14:33" ht="30" x14ac:dyDescent="0.25">
      <c r="AB48" s="30" t="s">
        <v>72</v>
      </c>
      <c r="AC48" s="46" t="s">
        <v>56</v>
      </c>
      <c r="AD48" s="46">
        <v>2</v>
      </c>
    </row>
    <row r="49" spans="14:30" x14ac:dyDescent="0.25">
      <c r="AB49" s="46" t="s">
        <v>66</v>
      </c>
      <c r="AC49" s="46" t="s">
        <v>69</v>
      </c>
      <c r="AD49" s="46">
        <v>600</v>
      </c>
    </row>
    <row r="50" spans="14:30" x14ac:dyDescent="0.25">
      <c r="N50" s="95" t="s">
        <v>33</v>
      </c>
      <c r="O50" s="95"/>
      <c r="P50" s="95"/>
      <c r="Q50" s="95"/>
      <c r="R50" s="95"/>
      <c r="AB50" s="46" t="s">
        <v>67</v>
      </c>
      <c r="AC50" s="46" t="s">
        <v>69</v>
      </c>
      <c r="AD50" s="46">
        <v>180</v>
      </c>
    </row>
    <row r="51" spans="14:30" ht="15.75" x14ac:dyDescent="0.25">
      <c r="N51" s="11"/>
      <c r="AB51" s="46" t="s">
        <v>68</v>
      </c>
      <c r="AC51" s="46" t="s">
        <v>69</v>
      </c>
      <c r="AD51" s="46">
        <v>800</v>
      </c>
    </row>
    <row r="52" spans="14:30" ht="15.75" x14ac:dyDescent="0.25">
      <c r="N52" s="11"/>
    </row>
    <row r="53" spans="14:30" ht="15.75" x14ac:dyDescent="0.25">
      <c r="N53" s="11"/>
    </row>
    <row r="54" spans="14:30" ht="18" x14ac:dyDescent="0.25">
      <c r="N54" s="12" t="s">
        <v>34</v>
      </c>
    </row>
    <row r="55" spans="14:30" ht="15.75" x14ac:dyDescent="0.25">
      <c r="N55" s="11"/>
    </row>
    <row r="56" spans="14:30" x14ac:dyDescent="0.25">
      <c r="N56" s="13" t="s">
        <v>35</v>
      </c>
    </row>
    <row r="57" spans="14:30" x14ac:dyDescent="0.25">
      <c r="N57" s="13" t="s">
        <v>36</v>
      </c>
    </row>
    <row r="58" spans="14:30" x14ac:dyDescent="0.25">
      <c r="N58" s="96" t="s">
        <v>37</v>
      </c>
      <c r="O58" s="96"/>
      <c r="P58" s="96"/>
      <c r="Q58" s="96"/>
      <c r="R58" s="96"/>
    </row>
    <row r="59" spans="14:30" x14ac:dyDescent="0.25">
      <c r="N59" s="93" t="s">
        <v>38</v>
      </c>
      <c r="O59" s="93"/>
      <c r="P59" s="93"/>
      <c r="Q59" s="93"/>
      <c r="R59" s="93"/>
    </row>
    <row r="60" spans="14:30" x14ac:dyDescent="0.25">
      <c r="N60" s="14"/>
      <c r="O60" s="14"/>
      <c r="P60" s="14"/>
      <c r="Q60" s="14"/>
      <c r="R60" s="14"/>
    </row>
    <row r="61" spans="14:30" x14ac:dyDescent="0.25">
      <c r="O61" s="15" t="s">
        <v>39</v>
      </c>
      <c r="P61" s="15">
        <v>0.5</v>
      </c>
      <c r="Q61" s="15"/>
      <c r="R61" s="15"/>
    </row>
    <row r="62" spans="14:30" x14ac:dyDescent="0.25">
      <c r="O62" s="46" t="s">
        <v>40</v>
      </c>
      <c r="P62" s="46">
        <v>1.2</v>
      </c>
    </row>
    <row r="63" spans="14:30" x14ac:dyDescent="0.25">
      <c r="O63" s="46" t="s">
        <v>31</v>
      </c>
      <c r="P63" s="46">
        <f>P61^(1/4)*P62*(R27^0.5)</f>
        <v>8.1034417375274184E-2</v>
      </c>
      <c r="S63" s="46">
        <f>P61^(1/4)*P62*(S27^0.5)</f>
        <v>0.13066407187253257</v>
      </c>
    </row>
  </sheetData>
  <mergeCells count="24">
    <mergeCell ref="N59:R59"/>
    <mergeCell ref="N10:P10"/>
    <mergeCell ref="V10:X10"/>
    <mergeCell ref="V11:X11"/>
    <mergeCell ref="N13:T13"/>
    <mergeCell ref="N28:P28"/>
    <mergeCell ref="N30:O30"/>
    <mergeCell ref="N31:O31"/>
    <mergeCell ref="N34:P34"/>
    <mergeCell ref="N45:R47"/>
    <mergeCell ref="N50:R50"/>
    <mergeCell ref="N58:R58"/>
    <mergeCell ref="N3:R3"/>
    <mergeCell ref="V7:X7"/>
    <mergeCell ref="N8:P8"/>
    <mergeCell ref="V8:Y8"/>
    <mergeCell ref="N9:Q9"/>
    <mergeCell ref="V9:W9"/>
    <mergeCell ref="A1:C1"/>
    <mergeCell ref="I1:L1"/>
    <mergeCell ref="N1:S1"/>
    <mergeCell ref="V1:Y1"/>
    <mergeCell ref="AB1:AD1"/>
    <mergeCell ref="E1:G1"/>
  </mergeCells>
  <pageMargins left="0.511811024" right="0.511811024" top="0.78740157499999996" bottom="0.78740157499999996" header="0.31496062000000002" footer="0.31496062000000002"/>
  <drawing r:id="rId1"/>
  <legacyDrawing r:id="rId2"/>
  <oleObjects>
    <mc:AlternateContent xmlns:mc="http://schemas.openxmlformats.org/markup-compatibility/2006">
      <mc:Choice Requires="x14">
        <oleObject progId="Equation.3" shapeId="17409" r:id="rId3">
          <objectPr defaultSize="0" autoPict="0" r:id="rId4">
            <anchor moveWithCells="1">
              <from>
                <xdr:col>8</xdr:col>
                <xdr:colOff>304800</xdr:colOff>
                <xdr:row>1</xdr:row>
                <xdr:rowOff>57150</xdr:rowOff>
              </from>
              <to>
                <xdr:col>11</xdr:col>
                <xdr:colOff>200025</xdr:colOff>
                <xdr:row>3</xdr:row>
                <xdr:rowOff>161925</xdr:rowOff>
              </to>
            </anchor>
          </objectPr>
        </oleObject>
      </mc:Choice>
      <mc:Fallback>
        <oleObject progId="Equation.3" shapeId="17409" r:id="rId3"/>
      </mc:Fallback>
    </mc:AlternateContent>
    <mc:AlternateContent xmlns:mc="http://schemas.openxmlformats.org/markup-compatibility/2006">
      <mc:Choice Requires="x14">
        <oleObject progId="Equation.3" shapeId="17410" r:id="rId5">
          <objectPr defaultSize="0" autoPict="0" r:id="rId4">
            <anchor moveWithCells="1">
              <from>
                <xdr:col>8</xdr:col>
                <xdr:colOff>304800</xdr:colOff>
                <xdr:row>1</xdr:row>
                <xdr:rowOff>57150</xdr:rowOff>
              </from>
              <to>
                <xdr:col>11</xdr:col>
                <xdr:colOff>200025</xdr:colOff>
                <xdr:row>4</xdr:row>
                <xdr:rowOff>38100</xdr:rowOff>
              </to>
            </anchor>
          </objectPr>
        </oleObject>
      </mc:Choice>
      <mc:Fallback>
        <oleObject progId="Equation.3" shapeId="17410" r:id="rId5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10</vt:i4>
      </vt:variant>
    </vt:vector>
  </HeadingPairs>
  <TitlesOfParts>
    <vt:vector size="10" baseType="lpstr">
      <vt:lpstr>Junco</vt:lpstr>
      <vt:lpstr>Brejão</vt:lpstr>
      <vt:lpstr>Pinhão Mocó</vt:lpstr>
      <vt:lpstr>Jacu Jiboia</vt:lpstr>
      <vt:lpstr>Riacho das Areias</vt:lpstr>
      <vt:lpstr>Riacho das Pedras</vt:lpstr>
      <vt:lpstr>Cabeceiras </vt:lpstr>
      <vt:lpstr>Varzea da Conceição</vt:lpstr>
      <vt:lpstr>Lagoa do Sitio</vt:lpstr>
      <vt:lpstr>Pedra Redonda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BRUNO GUSMAO</cp:lastModifiedBy>
  <dcterms:created xsi:type="dcterms:W3CDTF">2012-09-13T18:43:16Z</dcterms:created>
  <dcterms:modified xsi:type="dcterms:W3CDTF">2012-10-31T12:54:56Z</dcterms:modified>
</cp:coreProperties>
</file>